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comments1.xml" ContentType="application/vnd.openxmlformats-officedocument.spreadsheetml.comments+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M2.K76UJN4L\Downloads\"/>
    </mc:Choice>
  </mc:AlternateContent>
  <xr:revisionPtr revIDLastSave="0" documentId="13_ncr:1_{505ECD5E-DF3D-4B43-BF7D-810AB1EE6A11}" xr6:coauthVersionLast="47" xr6:coauthVersionMax="47" xr10:uidLastSave="{00000000-0000-0000-0000-000000000000}"/>
  <bookViews>
    <workbookView xWindow="-120" yWindow="-120" windowWidth="51840" windowHeight="21120" xr2:uid="{ED28CA51-966B-4EDA-9D84-0CDA4C0F19C2}"/>
  </bookViews>
  <sheets>
    <sheet name="Overview" sheetId="17" r:id="rId1"/>
    <sheet name="Generic" sheetId="19" r:id="rId2"/>
    <sheet name="Anaesthetics &amp; ICM" sheetId="1" r:id="rId3"/>
    <sheet name="ACCS" sheetId="4" r:id="rId4"/>
    <sheet name="CSRH" sheetId="6" r:id="rId5"/>
    <sheet name="EM" sheetId="5" r:id="rId6"/>
    <sheet name="Foundation" sheetId="7" r:id="rId7"/>
    <sheet name="O&amp;G" sheetId="9" r:id="rId8"/>
    <sheet name="Medicine" sheetId="8" r:id="rId9"/>
    <sheet name="Rad" sheetId="15" r:id="rId10"/>
    <sheet name="Opth" sheetId="10" r:id="rId11"/>
    <sheet name="Paeds" sheetId="11" r:id="rId12"/>
    <sheet name="Path" sheetId="12" r:id="rId13"/>
    <sheet name="PC" sheetId="13" r:id="rId14"/>
    <sheet name="Psych" sheetId="14" r:id="rId15"/>
    <sheet name="Surgery" sheetId="16" r:id="rId16"/>
    <sheet name="Information Sheet" sheetId="2" state="hidden" r:id="rId17"/>
  </sheets>
  <externalReferences>
    <externalReference r:id="rId18"/>
    <externalReference r:id="rId19"/>
  </externalReferences>
  <definedNames>
    <definedName name="Cats">'Information Sheet'!$D$2:$D$4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 l="1"/>
  <c r="B28" i="6"/>
  <c r="B27" i="6"/>
  <c r="B26" i="6"/>
  <c r="B25" i="6"/>
  <c r="B24" i="6"/>
  <c r="B23" i="6" l="1"/>
  <c r="B21" i="19"/>
  <c r="A21" i="19" s="1"/>
  <c r="B20" i="5"/>
  <c r="A20" i="5" s="1"/>
  <c r="B21" i="5"/>
  <c r="A21" i="5" s="1"/>
  <c r="B6" i="6" l="1"/>
  <c r="B7" i="6"/>
  <c r="B8" i="6"/>
  <c r="B9" i="6"/>
  <c r="B10" i="6"/>
  <c r="B11" i="6"/>
  <c r="B12" i="6"/>
  <c r="B13" i="6"/>
  <c r="B14" i="6"/>
  <c r="B15" i="6"/>
  <c r="B16" i="6"/>
  <c r="B17" i="6"/>
  <c r="B18" i="6"/>
  <c r="B19" i="6"/>
  <c r="B20" i="6"/>
  <c r="B21" i="6"/>
  <c r="B22" i="6"/>
  <c r="B10" i="8"/>
  <c r="A10" i="8" s="1"/>
  <c r="B20" i="19"/>
  <c r="A20" i="19" s="1"/>
  <c r="B19" i="19"/>
  <c r="A19" i="19" s="1"/>
  <c r="B18" i="19"/>
  <c r="A18" i="19" s="1"/>
  <c r="B17" i="19"/>
  <c r="A17" i="19" s="1"/>
  <c r="B16" i="19"/>
  <c r="A16" i="19" s="1"/>
  <c r="B15" i="19"/>
  <c r="A15" i="19" s="1"/>
  <c r="B14" i="19"/>
  <c r="A14" i="19" s="1"/>
  <c r="B13" i="19"/>
  <c r="A13" i="19" s="1"/>
  <c r="B12" i="19"/>
  <c r="A12" i="19" s="1"/>
  <c r="B11" i="19"/>
  <c r="A11" i="19" s="1"/>
  <c r="B10" i="19"/>
  <c r="A10" i="19" s="1"/>
  <c r="B9" i="19"/>
  <c r="A9" i="19" s="1"/>
  <c r="B21" i="16"/>
  <c r="A21" i="16" s="1"/>
  <c r="B22" i="16"/>
  <c r="A22" i="16" s="1"/>
  <c r="B23" i="16"/>
  <c r="A23" i="16" s="1"/>
  <c r="B24" i="16"/>
  <c r="A24" i="16" s="1"/>
  <c r="B25" i="16"/>
  <c r="A25" i="16" s="1"/>
  <c r="B20" i="16"/>
  <c r="A20" i="16" s="1"/>
  <c r="B19" i="16"/>
  <c r="A19" i="16" s="1"/>
  <c r="B18" i="16"/>
  <c r="A18" i="16" s="1"/>
  <c r="B17" i="16"/>
  <c r="A17" i="16" s="1"/>
  <c r="B16" i="16"/>
  <c r="A16" i="16" s="1"/>
  <c r="B15" i="16"/>
  <c r="A15" i="16" s="1"/>
  <c r="B14" i="16"/>
  <c r="A14" i="16" s="1"/>
  <c r="B13" i="16"/>
  <c r="A13" i="16" s="1"/>
  <c r="B12" i="16"/>
  <c r="A12" i="16" s="1"/>
  <c r="B11" i="16"/>
  <c r="A11" i="16" s="1"/>
  <c r="B10" i="16"/>
  <c r="A10" i="16" s="1"/>
  <c r="B9" i="16"/>
  <c r="A9" i="16" s="1"/>
  <c r="B8" i="16"/>
  <c r="A8" i="16" s="1"/>
  <c r="B7" i="16"/>
  <c r="A7" i="16" s="1"/>
  <c r="B6" i="16"/>
  <c r="A6" i="16" s="1"/>
  <c r="B7" i="15"/>
  <c r="A7" i="15" s="1"/>
  <c r="B8" i="15"/>
  <c r="A8" i="15" s="1"/>
  <c r="B9" i="15"/>
  <c r="A9" i="15" s="1"/>
  <c r="B10" i="15"/>
  <c r="A10" i="15" s="1"/>
  <c r="B11" i="15"/>
  <c r="A11" i="15" s="1"/>
  <c r="B12" i="15"/>
  <c r="A12" i="15" s="1"/>
  <c r="B13" i="15"/>
  <c r="A13" i="15" s="1"/>
  <c r="B14" i="15"/>
  <c r="A14" i="15" s="1"/>
  <c r="B15" i="15"/>
  <c r="A15" i="15" s="1"/>
  <c r="B16" i="15"/>
  <c r="A16" i="15" s="1"/>
  <c r="B17" i="15"/>
  <c r="A17" i="15" s="1"/>
  <c r="B18" i="15"/>
  <c r="A18" i="15" s="1"/>
  <c r="B19" i="15"/>
  <c r="A19" i="15" s="1"/>
  <c r="B20" i="15"/>
  <c r="A20" i="15" s="1"/>
  <c r="B21" i="15"/>
  <c r="A21" i="15" s="1"/>
  <c r="B22" i="15"/>
  <c r="A22" i="15" s="1"/>
  <c r="B23" i="15"/>
  <c r="A23" i="15" s="1"/>
  <c r="B24" i="15"/>
  <c r="A24" i="15" s="1"/>
  <c r="B25" i="15"/>
  <c r="A25" i="15" s="1"/>
  <c r="B26" i="15"/>
  <c r="A26" i="15" s="1"/>
  <c r="B27" i="15"/>
  <c r="A27" i="15" s="1"/>
  <c r="B28" i="15"/>
  <c r="A28" i="15" s="1"/>
  <c r="B29" i="15"/>
  <c r="A29" i="15" s="1"/>
  <c r="B30" i="15"/>
  <c r="A30" i="15" s="1"/>
  <c r="B31" i="15"/>
  <c r="A31" i="15" s="1"/>
  <c r="B32" i="15"/>
  <c r="A32" i="15" s="1"/>
  <c r="B33" i="15"/>
  <c r="A33" i="15" s="1"/>
  <c r="B34" i="15"/>
  <c r="A34" i="15" s="1"/>
  <c r="B35" i="15"/>
  <c r="A35" i="15" s="1"/>
  <c r="B36" i="15"/>
  <c r="A36" i="15" s="1"/>
  <c r="B37" i="15"/>
  <c r="A37" i="15" s="1"/>
  <c r="B38" i="15"/>
  <c r="A38" i="15" s="1"/>
  <c r="B39" i="15"/>
  <c r="A39" i="15" s="1"/>
  <c r="B40" i="15"/>
  <c r="A40" i="15" s="1"/>
  <c r="B41" i="15"/>
  <c r="A41" i="15" s="1"/>
  <c r="B42" i="15"/>
  <c r="A42" i="15" s="1"/>
  <c r="B43" i="15"/>
  <c r="A43" i="15" s="1"/>
  <c r="B44" i="15"/>
  <c r="A44" i="15" s="1"/>
  <c r="B45" i="15"/>
  <c r="A45" i="15" s="1"/>
  <c r="B46" i="15"/>
  <c r="A46" i="15" s="1"/>
  <c r="B47" i="15"/>
  <c r="A47" i="15" s="1"/>
  <c r="B48" i="15"/>
  <c r="A48" i="15" s="1"/>
  <c r="B49" i="15"/>
  <c r="A49" i="15" s="1"/>
  <c r="B50" i="15"/>
  <c r="A50" i="15" s="1"/>
  <c r="B51" i="15"/>
  <c r="A51" i="15" s="1"/>
  <c r="B52" i="15"/>
  <c r="A52" i="15" s="1"/>
  <c r="B53" i="15"/>
  <c r="A53" i="15" s="1"/>
  <c r="B54" i="15"/>
  <c r="A54" i="15" s="1"/>
  <c r="B55" i="15"/>
  <c r="A55" i="15" s="1"/>
  <c r="B56" i="15"/>
  <c r="A56" i="15" s="1"/>
  <c r="B57" i="15"/>
  <c r="A57" i="15" s="1"/>
  <c r="B58" i="15"/>
  <c r="A58" i="15" s="1"/>
  <c r="B59" i="15"/>
  <c r="A59" i="15" s="1"/>
  <c r="B60" i="15"/>
  <c r="A60" i="15" s="1"/>
  <c r="B61" i="15"/>
  <c r="A61" i="15" s="1"/>
  <c r="B62" i="15"/>
  <c r="A62" i="15" s="1"/>
  <c r="B63" i="15"/>
  <c r="A63" i="15" s="1"/>
  <c r="B64" i="15"/>
  <c r="A64" i="15" s="1"/>
  <c r="B65" i="15"/>
  <c r="A65" i="15" s="1"/>
  <c r="B66" i="15"/>
  <c r="A66" i="15" s="1"/>
  <c r="B67" i="15"/>
  <c r="A67" i="15" s="1"/>
  <c r="B68" i="15"/>
  <c r="A68" i="15" s="1"/>
  <c r="B69" i="15"/>
  <c r="A69" i="15" s="1"/>
  <c r="B70" i="15"/>
  <c r="A70" i="15" s="1"/>
  <c r="B71" i="15"/>
  <c r="A71" i="15" s="1"/>
  <c r="B72" i="15"/>
  <c r="A72" i="15" s="1"/>
  <c r="B73" i="15"/>
  <c r="A73" i="15" s="1"/>
  <c r="B74" i="15"/>
  <c r="A74" i="15" s="1"/>
  <c r="B75" i="15"/>
  <c r="A75" i="15" s="1"/>
  <c r="B76" i="15"/>
  <c r="A76" i="15" s="1"/>
  <c r="B77" i="15"/>
  <c r="A77" i="15" s="1"/>
  <c r="B78" i="15"/>
  <c r="A78" i="15" s="1"/>
  <c r="B79" i="15"/>
  <c r="A79" i="15" s="1"/>
  <c r="B80" i="15"/>
  <c r="A80" i="15" s="1"/>
  <c r="B81" i="15"/>
  <c r="A81" i="15" s="1"/>
  <c r="B82" i="15"/>
  <c r="A82" i="15" s="1"/>
  <c r="B83" i="15"/>
  <c r="A83" i="15" s="1"/>
  <c r="B84" i="15"/>
  <c r="A84" i="15" s="1"/>
  <c r="B85" i="15"/>
  <c r="A85" i="15" s="1"/>
  <c r="B86" i="15"/>
  <c r="A86" i="15" s="1"/>
  <c r="B87" i="15"/>
  <c r="A87" i="15" s="1"/>
  <c r="B88" i="15"/>
  <c r="A88" i="15" s="1"/>
  <c r="B89" i="15"/>
  <c r="A89" i="15" s="1"/>
  <c r="B90" i="15"/>
  <c r="A90" i="15" s="1"/>
  <c r="B91" i="15"/>
  <c r="A91" i="15" s="1"/>
  <c r="B92" i="15"/>
  <c r="A92" i="15" s="1"/>
  <c r="B93" i="15"/>
  <c r="A93" i="15" s="1"/>
  <c r="B94" i="15"/>
  <c r="A94" i="15" s="1"/>
  <c r="B95" i="15"/>
  <c r="A95" i="15" s="1"/>
  <c r="B96" i="15"/>
  <c r="A96" i="15" s="1"/>
  <c r="B97" i="15"/>
  <c r="A97" i="15" s="1"/>
  <c r="B98" i="15"/>
  <c r="A98" i="15" s="1"/>
  <c r="B99" i="15"/>
  <c r="A99" i="15" s="1"/>
  <c r="B100" i="15"/>
  <c r="A100" i="15" s="1"/>
  <c r="B101" i="15"/>
  <c r="A101" i="15" s="1"/>
  <c r="B102" i="15"/>
  <c r="A102" i="15" s="1"/>
  <c r="B103" i="15"/>
  <c r="A103" i="15" s="1"/>
  <c r="B104" i="15"/>
  <c r="A104" i="15" s="1"/>
  <c r="B105" i="15"/>
  <c r="A105" i="15" s="1"/>
  <c r="B106" i="15"/>
  <c r="A106" i="15" s="1"/>
  <c r="B107" i="15"/>
  <c r="A107" i="15" s="1"/>
  <c r="B108" i="15"/>
  <c r="A108" i="15" s="1"/>
  <c r="B109" i="15"/>
  <c r="A109" i="15" s="1"/>
  <c r="B110" i="15"/>
  <c r="A110" i="15" s="1"/>
  <c r="B111" i="15"/>
  <c r="A111" i="15" s="1"/>
  <c r="B112" i="15"/>
  <c r="A112" i="15" s="1"/>
  <c r="B113" i="15"/>
  <c r="A113" i="15" s="1"/>
  <c r="B114" i="15"/>
  <c r="A114" i="15" s="1"/>
  <c r="B115" i="15"/>
  <c r="A115" i="15" s="1"/>
  <c r="B116" i="15"/>
  <c r="A116" i="15" s="1"/>
  <c r="B117" i="15"/>
  <c r="A117" i="15" s="1"/>
  <c r="B118" i="15"/>
  <c r="A118" i="15" s="1"/>
  <c r="B119" i="15"/>
  <c r="A119" i="15" s="1"/>
  <c r="B120" i="15"/>
  <c r="A120" i="15" s="1"/>
  <c r="B121" i="15"/>
  <c r="A121" i="15" s="1"/>
  <c r="B122" i="15"/>
  <c r="A122" i="15" s="1"/>
  <c r="B6" i="15"/>
  <c r="A6" i="15" s="1"/>
  <c r="B10" i="14"/>
  <c r="A10" i="14" s="1"/>
  <c r="B11" i="14"/>
  <c r="A11" i="14" s="1"/>
  <c r="B12" i="14"/>
  <c r="A12" i="14" s="1"/>
  <c r="B13" i="14"/>
  <c r="A13" i="14" s="1"/>
  <c r="B14" i="14"/>
  <c r="A14" i="14" s="1"/>
  <c r="B15" i="14"/>
  <c r="A15" i="14" s="1"/>
  <c r="B16" i="14"/>
  <c r="A16" i="14" s="1"/>
  <c r="B17" i="14"/>
  <c r="A17" i="14" s="1"/>
  <c r="B9" i="14"/>
  <c r="A9" i="14" s="1"/>
  <c r="B8" i="14"/>
  <c r="A8" i="14" s="1"/>
  <c r="B7" i="14"/>
  <c r="A7" i="14" s="1"/>
  <c r="B6" i="14"/>
  <c r="B13" i="13"/>
  <c r="A13" i="13" s="1"/>
  <c r="B14" i="13"/>
  <c r="A14" i="13" s="1"/>
  <c r="B15" i="13"/>
  <c r="A15" i="13" s="1"/>
  <c r="B16" i="13"/>
  <c r="A16" i="13" s="1"/>
  <c r="B17" i="13"/>
  <c r="A17" i="13" s="1"/>
  <c r="B18" i="13"/>
  <c r="A18" i="13" s="1"/>
  <c r="B19" i="13"/>
  <c r="A19" i="13" s="1"/>
  <c r="B20" i="13"/>
  <c r="A20" i="13" s="1"/>
  <c r="B21" i="13"/>
  <c r="A21" i="13" s="1"/>
  <c r="B22" i="13"/>
  <c r="A22" i="13" s="1"/>
  <c r="B23" i="13"/>
  <c r="A23" i="13" s="1"/>
  <c r="B10" i="13"/>
  <c r="A10" i="13" s="1"/>
  <c r="B11" i="13"/>
  <c r="A11" i="13" s="1"/>
  <c r="B12" i="13"/>
  <c r="A12" i="13" s="1"/>
  <c r="B9" i="13"/>
  <c r="A9" i="13" s="1"/>
  <c r="B8" i="13"/>
  <c r="A8" i="13" s="1"/>
  <c r="B7" i="13"/>
  <c r="A7" i="13" s="1"/>
  <c r="B6" i="13"/>
  <c r="A6" i="13" s="1"/>
  <c r="B10" i="12"/>
  <c r="A10" i="12" s="1"/>
  <c r="B11" i="12"/>
  <c r="A11" i="12" s="1"/>
  <c r="B12" i="12"/>
  <c r="A12" i="12" s="1"/>
  <c r="B9" i="12"/>
  <c r="A9" i="12" s="1"/>
  <c r="B8" i="12"/>
  <c r="A8" i="12" s="1"/>
  <c r="B7" i="12"/>
  <c r="A7" i="12" s="1"/>
  <c r="B6" i="12"/>
  <c r="A6" i="12" s="1"/>
  <c r="B9" i="11"/>
  <c r="A9" i="11" s="1"/>
  <c r="B8" i="11"/>
  <c r="A8" i="11" s="1"/>
  <c r="B7" i="11"/>
  <c r="A7" i="11" s="1"/>
  <c r="B6" i="11"/>
  <c r="A6" i="11" s="1"/>
  <c r="B10" i="10"/>
  <c r="A10" i="10" s="1"/>
  <c r="B11" i="10"/>
  <c r="A11" i="10" s="1"/>
  <c r="B12" i="10"/>
  <c r="A12" i="10" s="1"/>
  <c r="B13" i="10"/>
  <c r="A13" i="10" s="1"/>
  <c r="B14" i="10"/>
  <c r="A14" i="10" s="1"/>
  <c r="B15" i="10"/>
  <c r="A15" i="10" s="1"/>
  <c r="B16" i="10"/>
  <c r="A16" i="10" s="1"/>
  <c r="B17" i="10"/>
  <c r="A17" i="10" s="1"/>
  <c r="B18" i="10"/>
  <c r="A18" i="10" s="1"/>
  <c r="B19" i="10"/>
  <c r="A19" i="10" s="1"/>
  <c r="B20" i="10"/>
  <c r="A20" i="10" s="1"/>
  <c r="B21" i="10"/>
  <c r="A21" i="10" s="1"/>
  <c r="B22" i="10"/>
  <c r="A22" i="10" s="1"/>
  <c r="B23" i="10"/>
  <c r="A23" i="10" s="1"/>
  <c r="B24" i="10"/>
  <c r="A24" i="10" s="1"/>
  <c r="B25" i="10"/>
  <c r="A25" i="10" s="1"/>
  <c r="B26" i="10"/>
  <c r="A26" i="10" s="1"/>
  <c r="B27" i="10"/>
  <c r="A27" i="10" s="1"/>
  <c r="B28" i="10"/>
  <c r="A28" i="10" s="1"/>
  <c r="B29" i="10"/>
  <c r="A29" i="10" s="1"/>
  <c r="B30" i="10"/>
  <c r="A30" i="10" s="1"/>
  <c r="B31" i="10"/>
  <c r="A31" i="10" s="1"/>
  <c r="B32" i="10"/>
  <c r="A32" i="10" s="1"/>
  <c r="B33" i="10"/>
  <c r="A33" i="10" s="1"/>
  <c r="B34" i="10"/>
  <c r="A34" i="10" s="1"/>
  <c r="B35" i="10"/>
  <c r="A35" i="10" s="1"/>
  <c r="B36" i="10"/>
  <c r="A36" i="10" s="1"/>
  <c r="B37" i="10"/>
  <c r="A37" i="10" s="1"/>
  <c r="B38" i="10"/>
  <c r="A38" i="10" s="1"/>
  <c r="B39" i="10"/>
  <c r="A39" i="10" s="1"/>
  <c r="B40" i="10"/>
  <c r="A40" i="10" s="1"/>
  <c r="B41" i="10"/>
  <c r="A41" i="10" s="1"/>
  <c r="B42" i="10"/>
  <c r="A42" i="10" s="1"/>
  <c r="B43" i="10"/>
  <c r="A43" i="10" s="1"/>
  <c r="B44" i="10"/>
  <c r="A44" i="10" s="1"/>
  <c r="B9" i="10"/>
  <c r="A9" i="10" s="1"/>
  <c r="B8" i="10"/>
  <c r="A8" i="10" s="1"/>
  <c r="B7" i="10"/>
  <c r="A7" i="10" s="1"/>
  <c r="B6" i="10"/>
  <c r="A6" i="10" s="1"/>
  <c r="B9" i="9"/>
  <c r="A9" i="9" s="1"/>
  <c r="B8" i="9"/>
  <c r="A8" i="9" s="1"/>
  <c r="B7" i="9"/>
  <c r="A7" i="9" s="1"/>
  <c r="B6" i="9"/>
  <c r="B11" i="8"/>
  <c r="A11" i="8" s="1"/>
  <c r="B9" i="8"/>
  <c r="A9" i="8" s="1"/>
  <c r="B8" i="8"/>
  <c r="A8" i="8" s="1"/>
  <c r="B7" i="8"/>
  <c r="A7" i="8" s="1"/>
  <c r="B6" i="8"/>
  <c r="A6" i="8" s="1"/>
  <c r="B20" i="7"/>
  <c r="A20" i="7" s="1"/>
  <c r="B19" i="7"/>
  <c r="A19" i="7" s="1"/>
  <c r="B18" i="7"/>
  <c r="A18" i="7" s="1"/>
  <c r="B17" i="7"/>
  <c r="A17" i="7" s="1"/>
  <c r="B16" i="7"/>
  <c r="A16" i="7" s="1"/>
  <c r="B15" i="7"/>
  <c r="A15" i="7" s="1"/>
  <c r="B14" i="7"/>
  <c r="A14" i="7" s="1"/>
  <c r="B13" i="7"/>
  <c r="A13" i="7" s="1"/>
  <c r="B12" i="7"/>
  <c r="A12" i="7" s="1"/>
  <c r="B11" i="7"/>
  <c r="A11" i="7" s="1"/>
  <c r="B10" i="7"/>
  <c r="A10" i="7" s="1"/>
  <c r="B9" i="7"/>
  <c r="A9" i="7" s="1"/>
  <c r="B8" i="7"/>
  <c r="A8" i="7" s="1"/>
  <c r="B7" i="7"/>
  <c r="A7" i="7" s="1"/>
  <c r="B6" i="7"/>
  <c r="A6" i="7" s="1"/>
  <c r="B19" i="5"/>
  <c r="A19" i="5" s="1"/>
  <c r="B18" i="5"/>
  <c r="A18" i="5" s="1"/>
  <c r="B17" i="5"/>
  <c r="A17" i="5" s="1"/>
  <c r="B16" i="5"/>
  <c r="A16" i="5" s="1"/>
  <c r="B15" i="5"/>
  <c r="A15" i="5" s="1"/>
  <c r="B14" i="5"/>
  <c r="A14" i="5" s="1"/>
  <c r="B13" i="5"/>
  <c r="A13" i="5" s="1"/>
  <c r="B12" i="5"/>
  <c r="A12" i="5" s="1"/>
  <c r="B11" i="5"/>
  <c r="A11" i="5" s="1"/>
  <c r="B10" i="5"/>
  <c r="A10" i="5" s="1"/>
  <c r="B9" i="5"/>
  <c r="A9" i="5" s="1"/>
  <c r="B8" i="5"/>
  <c r="A8" i="5" s="1"/>
  <c r="B7" i="5"/>
  <c r="A7" i="5" s="1"/>
  <c r="B6" i="5"/>
  <c r="B9" i="4"/>
  <c r="A9" i="4" s="1"/>
  <c r="B8" i="4"/>
  <c r="A8" i="4" s="1"/>
  <c r="B7" i="4"/>
  <c r="A7" i="4" s="1"/>
  <c r="B6" i="4"/>
  <c r="A6" i="4" s="1"/>
  <c r="B77" i="9" l="1"/>
  <c r="A77" i="9" s="1"/>
  <c r="B76" i="9"/>
  <c r="A76" i="9" s="1"/>
  <c r="B75" i="9"/>
  <c r="A75" i="9" s="1"/>
  <c r="B57" i="5"/>
  <c r="A57" i="5" s="1"/>
  <c r="B56" i="5"/>
  <c r="A56" i="5" s="1"/>
  <c r="A6" i="5"/>
  <c r="B26" i="5"/>
  <c r="A26" i="5" s="1"/>
  <c r="A6" i="14"/>
  <c r="B26" i="14"/>
  <c r="A26" i="14" s="1"/>
  <c r="B17" i="9"/>
  <c r="A17" i="9" s="1"/>
  <c r="A6" i="9"/>
  <c r="B21" i="9"/>
  <c r="A21" i="9" s="1"/>
  <c r="B23" i="9"/>
  <c r="A23" i="9" s="1"/>
  <c r="B30" i="9"/>
  <c r="A30" i="9" s="1"/>
  <c r="B35" i="9"/>
  <c r="A35" i="9" s="1"/>
  <c r="B37" i="9"/>
  <c r="A37" i="9" s="1"/>
  <c r="B43" i="9"/>
  <c r="A43" i="9" s="1"/>
  <c r="B45" i="9"/>
  <c r="A45" i="9" s="1"/>
  <c r="B50" i="9"/>
  <c r="A50" i="9" s="1"/>
  <c r="B52" i="9"/>
  <c r="A52" i="9" s="1"/>
  <c r="B57" i="9"/>
  <c r="A57" i="9" s="1"/>
  <c r="B58" i="9"/>
  <c r="A58" i="9" s="1"/>
  <c r="B62" i="9"/>
  <c r="A62" i="9" s="1"/>
  <c r="B68" i="9"/>
  <c r="A68" i="9" s="1"/>
  <c r="B72" i="9"/>
  <c r="A72" i="9" s="1"/>
  <c r="B74" i="9"/>
  <c r="A74" i="9" s="1"/>
  <c r="B37" i="16"/>
  <c r="A37" i="16" s="1"/>
  <c r="B53" i="16"/>
  <c r="A53" i="16" s="1"/>
  <c r="B59" i="16"/>
  <c r="A59" i="16" s="1"/>
  <c r="B51" i="16"/>
  <c r="A51" i="16" s="1"/>
  <c r="B43" i="16"/>
  <c r="A43" i="16" s="1"/>
  <c r="B35" i="16"/>
  <c r="A35" i="16" s="1"/>
  <c r="B44" i="16"/>
  <c r="A44" i="16" s="1"/>
  <c r="B58" i="16"/>
  <c r="A58" i="16" s="1"/>
  <c r="B50" i="16"/>
  <c r="A50" i="16" s="1"/>
  <c r="B42" i="16"/>
  <c r="A42" i="16" s="1"/>
  <c r="B34" i="16"/>
  <c r="A34" i="16" s="1"/>
  <c r="B45" i="16"/>
  <c r="A45" i="16" s="1"/>
  <c r="B57" i="16"/>
  <c r="A57" i="16" s="1"/>
  <c r="B49" i="16"/>
  <c r="A49" i="16" s="1"/>
  <c r="B41" i="16"/>
  <c r="A41" i="16" s="1"/>
  <c r="B56" i="16"/>
  <c r="A56" i="16" s="1"/>
  <c r="B48" i="16"/>
  <c r="A48" i="16" s="1"/>
  <c r="B40" i="16"/>
  <c r="A40" i="16" s="1"/>
  <c r="B36" i="16"/>
  <c r="A36" i="16" s="1"/>
  <c r="B55" i="16"/>
  <c r="A55" i="16" s="1"/>
  <c r="B47" i="16"/>
  <c r="A47" i="16" s="1"/>
  <c r="B39" i="16"/>
  <c r="A39" i="16" s="1"/>
  <c r="B52" i="16"/>
  <c r="A52" i="16" s="1"/>
  <c r="B54" i="16"/>
  <c r="A54" i="16" s="1"/>
  <c r="B46" i="16"/>
  <c r="A46" i="16" s="1"/>
  <c r="B38" i="16"/>
  <c r="A38" i="16" s="1"/>
  <c r="B30" i="16"/>
  <c r="A30" i="16" s="1"/>
  <c r="B33" i="16"/>
  <c r="A33" i="16" s="1"/>
  <c r="B31" i="16"/>
  <c r="A31" i="16" s="1"/>
  <c r="B32" i="16"/>
  <c r="A32" i="16" s="1"/>
  <c r="B25" i="14"/>
  <c r="A25" i="14" s="1"/>
  <c r="B24" i="14"/>
  <c r="A24" i="14" s="1"/>
  <c r="B23" i="14"/>
  <c r="A23" i="14" s="1"/>
  <c r="B22" i="14"/>
  <c r="B20" i="12"/>
  <c r="A20" i="12" s="1"/>
  <c r="B19" i="12"/>
  <c r="A19" i="12" s="1"/>
  <c r="B18" i="12"/>
  <c r="A18" i="12" s="1"/>
  <c r="B22" i="12"/>
  <c r="A22" i="12" s="1"/>
  <c r="B21" i="12"/>
  <c r="A21" i="12" s="1"/>
  <c r="B17" i="12"/>
  <c r="A17" i="12" s="1"/>
  <c r="B14" i="11"/>
  <c r="B29" i="11" s="1"/>
  <c r="A29" i="11" s="1"/>
  <c r="B41" i="9"/>
  <c r="A41" i="9" s="1"/>
  <c r="B19" i="9"/>
  <c r="A19" i="9" s="1"/>
  <c r="B71" i="9"/>
  <c r="A71" i="9" s="1"/>
  <c r="B65" i="9"/>
  <c r="A65" i="9" s="1"/>
  <c r="B54" i="9"/>
  <c r="A54" i="9" s="1"/>
  <c r="B40" i="9"/>
  <c r="A40" i="9" s="1"/>
  <c r="B33" i="9"/>
  <c r="A33" i="9" s="1"/>
  <c r="B26" i="9"/>
  <c r="A26" i="9" s="1"/>
  <c r="B18" i="9"/>
  <c r="A18" i="9" s="1"/>
  <c r="B55" i="9"/>
  <c r="A55" i="9" s="1"/>
  <c r="B34" i="9"/>
  <c r="A34" i="9" s="1"/>
  <c r="B70" i="9"/>
  <c r="A70" i="9" s="1"/>
  <c r="B64" i="9"/>
  <c r="A64" i="9" s="1"/>
  <c r="B60" i="9"/>
  <c r="A60" i="9" s="1"/>
  <c r="B47" i="9"/>
  <c r="A47" i="9" s="1"/>
  <c r="B39" i="9"/>
  <c r="A39" i="9" s="1"/>
  <c r="B32" i="9"/>
  <c r="A32" i="9" s="1"/>
  <c r="B25" i="9"/>
  <c r="A25" i="9" s="1"/>
  <c r="B66" i="9"/>
  <c r="A66" i="9" s="1"/>
  <c r="B48" i="9"/>
  <c r="A48" i="9" s="1"/>
  <c r="B27" i="9"/>
  <c r="A27" i="9" s="1"/>
  <c r="B69" i="9"/>
  <c r="A69" i="9" s="1"/>
  <c r="B63" i="9"/>
  <c r="A63" i="9" s="1"/>
  <c r="B59" i="9"/>
  <c r="A59" i="9" s="1"/>
  <c r="B53" i="9"/>
  <c r="A53" i="9" s="1"/>
  <c r="B46" i="9"/>
  <c r="A46" i="9" s="1"/>
  <c r="B38" i="9"/>
  <c r="A38" i="9" s="1"/>
  <c r="B31" i="9"/>
  <c r="A31" i="9" s="1"/>
  <c r="B24" i="9"/>
  <c r="A24" i="9" s="1"/>
  <c r="B73" i="9"/>
  <c r="A73" i="9" s="1"/>
  <c r="B51" i="9"/>
  <c r="A51" i="9" s="1"/>
  <c r="B44" i="9"/>
  <c r="A44" i="9" s="1"/>
  <c r="B36" i="9"/>
  <c r="A36" i="9" s="1"/>
  <c r="B29" i="9"/>
  <c r="A29" i="9" s="1"/>
  <c r="B22" i="9"/>
  <c r="A22" i="9" s="1"/>
  <c r="B67" i="9"/>
  <c r="A67" i="9" s="1"/>
  <c r="B61" i="9"/>
  <c r="A61" i="9" s="1"/>
  <c r="B56" i="9"/>
  <c r="A56" i="9" s="1"/>
  <c r="B49" i="9"/>
  <c r="A49" i="9" s="1"/>
  <c r="B42" i="9"/>
  <c r="A42" i="9" s="1"/>
  <c r="B28" i="9"/>
  <c r="A28" i="9" s="1"/>
  <c r="B20" i="9"/>
  <c r="A20" i="9" s="1"/>
  <c r="B15" i="9"/>
  <c r="A15" i="9" s="1"/>
  <c r="B16" i="9"/>
  <c r="A16" i="9" s="1"/>
  <c r="B14" i="9"/>
  <c r="A14" i="9" s="1"/>
  <c r="B14" i="4"/>
  <c r="A14" i="4" s="1"/>
  <c r="B22" i="8"/>
  <c r="A22" i="8" s="1"/>
  <c r="B18" i="8"/>
  <c r="A18" i="8" s="1"/>
  <c r="B16" i="8"/>
  <c r="A16" i="8" s="1"/>
  <c r="B19" i="8"/>
  <c r="A19" i="8" s="1"/>
  <c r="B24" i="8"/>
  <c r="A24" i="8" s="1"/>
  <c r="B20" i="8"/>
  <c r="A20" i="8" s="1"/>
  <c r="B25" i="8"/>
  <c r="A25" i="8" s="1"/>
  <c r="B17" i="8"/>
  <c r="A17" i="8" s="1"/>
  <c r="B21" i="8"/>
  <c r="A21" i="8" s="1"/>
  <c r="B23" i="8"/>
  <c r="A23" i="8" s="1"/>
  <c r="B27" i="5"/>
  <c r="A27" i="5" s="1"/>
  <c r="B29" i="5"/>
  <c r="A29" i="5" s="1"/>
  <c r="B25" i="5"/>
  <c r="B47" i="5"/>
  <c r="A47" i="5" s="1"/>
  <c r="B50" i="5"/>
  <c r="A50" i="5" s="1"/>
  <c r="B42" i="5"/>
  <c r="A42" i="5" s="1"/>
  <c r="B49" i="5"/>
  <c r="A49" i="5" s="1"/>
  <c r="B41" i="5"/>
  <c r="A41" i="5" s="1"/>
  <c r="B33" i="5"/>
  <c r="A33" i="5" s="1"/>
  <c r="B31" i="5"/>
  <c r="A31" i="5" s="1"/>
  <c r="B34" i="5"/>
  <c r="A34" i="5" s="1"/>
  <c r="B48" i="5"/>
  <c r="A48" i="5" s="1"/>
  <c r="B40" i="5"/>
  <c r="A40" i="5" s="1"/>
  <c r="B32" i="5"/>
  <c r="A32" i="5" s="1"/>
  <c r="B54" i="5"/>
  <c r="A54" i="5" s="1"/>
  <c r="B46" i="5"/>
  <c r="A46" i="5" s="1"/>
  <c r="B38" i="5"/>
  <c r="A38" i="5" s="1"/>
  <c r="B30" i="5"/>
  <c r="A30" i="5" s="1"/>
  <c r="B55" i="5"/>
  <c r="A55" i="5" s="1"/>
  <c r="B39" i="5"/>
  <c r="A39" i="5" s="1"/>
  <c r="B45" i="5"/>
  <c r="A45" i="5" s="1"/>
  <c r="B52" i="5"/>
  <c r="A52" i="5" s="1"/>
  <c r="B44" i="5"/>
  <c r="A44" i="5" s="1"/>
  <c r="B36" i="5"/>
  <c r="A36" i="5" s="1"/>
  <c r="B28" i="5"/>
  <c r="A28" i="5" s="1"/>
  <c r="B53" i="5"/>
  <c r="A53" i="5" s="1"/>
  <c r="B37" i="5"/>
  <c r="A37" i="5" s="1"/>
  <c r="B51" i="5"/>
  <c r="A51" i="5" s="1"/>
  <c r="B43" i="5"/>
  <c r="A43" i="5" s="1"/>
  <c r="B35" i="5"/>
  <c r="A35" i="5" s="1"/>
  <c r="B17" i="4"/>
  <c r="A17" i="4" s="1"/>
  <c r="B15" i="4"/>
  <c r="A15" i="4" s="1"/>
  <c r="B16" i="4"/>
  <c r="A16" i="4" s="1"/>
  <c r="B18" i="4"/>
  <c r="A18" i="4" s="1"/>
  <c r="A14" i="11" l="1"/>
  <c r="A22" i="14"/>
  <c r="B65" i="5"/>
  <c r="A65" i="5" s="1"/>
  <c r="B66" i="5"/>
  <c r="A66" i="5" s="1"/>
  <c r="B64" i="5"/>
  <c r="A64" i="5" s="1"/>
  <c r="A25" i="5"/>
  <c r="B63" i="5"/>
  <c r="A63" i="5" s="1"/>
  <c r="B84" i="16"/>
  <c r="A84" i="16" s="1"/>
  <c r="B92" i="16"/>
  <c r="A92" i="16" s="1"/>
  <c r="B95" i="16"/>
  <c r="A95" i="16" s="1"/>
  <c r="B85" i="16"/>
  <c r="A85" i="16" s="1"/>
  <c r="B93" i="16"/>
  <c r="A93" i="16" s="1"/>
  <c r="B87" i="16"/>
  <c r="A87" i="16" s="1"/>
  <c r="B86" i="16"/>
  <c r="A86" i="16" s="1"/>
  <c r="B94" i="16"/>
  <c r="A94" i="16" s="1"/>
  <c r="B88" i="16"/>
  <c r="A88" i="16" s="1"/>
  <c r="B89" i="16"/>
  <c r="A89" i="16" s="1"/>
  <c r="B97" i="16"/>
  <c r="A97" i="16" s="1"/>
  <c r="B83" i="16"/>
  <c r="A83" i="16" s="1"/>
  <c r="B96" i="16"/>
  <c r="A96" i="16" s="1"/>
  <c r="B90" i="16"/>
  <c r="A90" i="16" s="1"/>
  <c r="B91" i="16"/>
  <c r="A91" i="16" s="1"/>
  <c r="B81" i="16"/>
  <c r="A81" i="16" s="1"/>
  <c r="B78" i="16"/>
  <c r="A78" i="16" s="1"/>
  <c r="B74" i="16"/>
  <c r="A74" i="16" s="1"/>
  <c r="B70" i="16"/>
  <c r="A70" i="16" s="1"/>
  <c r="B66" i="16"/>
  <c r="A66" i="16" s="1"/>
  <c r="B68" i="16"/>
  <c r="A68" i="16" s="1"/>
  <c r="B80" i="16"/>
  <c r="A80" i="16" s="1"/>
  <c r="B77" i="16"/>
  <c r="A77" i="16" s="1"/>
  <c r="B73" i="16"/>
  <c r="A73" i="16" s="1"/>
  <c r="B69" i="16"/>
  <c r="A69" i="16" s="1"/>
  <c r="B65" i="16"/>
  <c r="A65" i="16" s="1"/>
  <c r="B76" i="16"/>
  <c r="A76" i="16" s="1"/>
  <c r="B64" i="16"/>
  <c r="A64" i="16" s="1"/>
  <c r="B82" i="16"/>
  <c r="A82" i="16" s="1"/>
  <c r="B75" i="16"/>
  <c r="A75" i="16" s="1"/>
  <c r="B71" i="16"/>
  <c r="A71" i="16" s="1"/>
  <c r="B67" i="16"/>
  <c r="A67" i="16" s="1"/>
  <c r="B79" i="16"/>
  <c r="A79" i="16" s="1"/>
  <c r="B72" i="16"/>
  <c r="A72" i="16" s="1"/>
  <c r="B46" i="14"/>
  <c r="A46" i="14" s="1"/>
  <c r="B45" i="14"/>
  <c r="A45" i="14" s="1"/>
  <c r="B41" i="14"/>
  <c r="A41" i="14" s="1"/>
  <c r="B42" i="14"/>
  <c r="A42" i="14" s="1"/>
  <c r="B43" i="14"/>
  <c r="A43" i="14" s="1"/>
  <c r="B44" i="14"/>
  <c r="A44" i="14" s="1"/>
  <c r="B40" i="14"/>
  <c r="A40" i="14" s="1"/>
  <c r="B38" i="14"/>
  <c r="A38" i="14" s="1"/>
  <c r="B34" i="14"/>
  <c r="A34" i="14" s="1"/>
  <c r="B31" i="14"/>
  <c r="B37" i="14"/>
  <c r="A37" i="14" s="1"/>
  <c r="B36" i="14"/>
  <c r="A36" i="14" s="1"/>
  <c r="B33" i="14"/>
  <c r="A33" i="14" s="1"/>
  <c r="B32" i="14"/>
  <c r="A32" i="14" s="1"/>
  <c r="B39" i="14"/>
  <c r="A39" i="14" s="1"/>
  <c r="B35" i="14"/>
  <c r="A35" i="14" s="1"/>
  <c r="B42" i="12"/>
  <c r="A42" i="12" s="1"/>
  <c r="B50" i="12"/>
  <c r="A50" i="12" s="1"/>
  <c r="B43" i="12"/>
  <c r="A43" i="12" s="1"/>
  <c r="B51" i="12"/>
  <c r="A51" i="12" s="1"/>
  <c r="B49" i="12"/>
  <c r="A49" i="12" s="1"/>
  <c r="B44" i="12"/>
  <c r="A44" i="12" s="1"/>
  <c r="B52" i="12"/>
  <c r="A52" i="12" s="1"/>
  <c r="B41" i="12"/>
  <c r="A41" i="12" s="1"/>
  <c r="B37" i="12"/>
  <c r="A37" i="12" s="1"/>
  <c r="B45" i="12"/>
  <c r="A45" i="12" s="1"/>
  <c r="B53" i="12"/>
  <c r="A53" i="12" s="1"/>
  <c r="B38" i="12"/>
  <c r="A38" i="12" s="1"/>
  <c r="B46" i="12"/>
  <c r="A46" i="12" s="1"/>
  <c r="B54" i="12"/>
  <c r="A54" i="12" s="1"/>
  <c r="B39" i="12"/>
  <c r="A39" i="12" s="1"/>
  <c r="B47" i="12"/>
  <c r="A47" i="12" s="1"/>
  <c r="B55" i="12"/>
  <c r="A55" i="12" s="1"/>
  <c r="B40" i="12"/>
  <c r="A40" i="12" s="1"/>
  <c r="B48" i="12"/>
  <c r="A48" i="12" s="1"/>
  <c r="B35" i="12"/>
  <c r="A35" i="12" s="1"/>
  <c r="B31" i="12"/>
  <c r="A31" i="12" s="1"/>
  <c r="B27" i="12"/>
  <c r="A27" i="12" s="1"/>
  <c r="B34" i="12"/>
  <c r="A34" i="12" s="1"/>
  <c r="B30" i="12"/>
  <c r="A30" i="12" s="1"/>
  <c r="B28" i="12"/>
  <c r="A28" i="12" s="1"/>
  <c r="B33" i="12"/>
  <c r="A33" i="12" s="1"/>
  <c r="B32" i="12"/>
  <c r="A32" i="12" s="1"/>
  <c r="B36" i="12"/>
  <c r="A36" i="12" s="1"/>
  <c r="B29" i="12"/>
  <c r="A29" i="12" s="1"/>
  <c r="B28" i="11"/>
  <c r="A28" i="11" s="1"/>
  <c r="B24" i="11"/>
  <c r="A24" i="11" s="1"/>
  <c r="B20" i="11"/>
  <c r="A20" i="11" s="1"/>
  <c r="B22" i="11"/>
  <c r="A22" i="11" s="1"/>
  <c r="B27" i="11"/>
  <c r="A27" i="11" s="1"/>
  <c r="B23" i="11"/>
  <c r="A23" i="11" s="1"/>
  <c r="B19" i="11"/>
  <c r="A19" i="11" s="1"/>
  <c r="B25" i="11"/>
  <c r="A25" i="11" s="1"/>
  <c r="B21" i="11"/>
  <c r="A21" i="11" s="1"/>
  <c r="B26" i="11"/>
  <c r="A26" i="11" s="1"/>
  <c r="B67" i="8"/>
  <c r="A67" i="8" s="1"/>
  <c r="B66" i="8"/>
  <c r="A66" i="8" s="1"/>
  <c r="B55" i="8"/>
  <c r="A55" i="8" s="1"/>
  <c r="B58" i="8"/>
  <c r="A58" i="8" s="1"/>
  <c r="B62" i="8"/>
  <c r="A62" i="8" s="1"/>
  <c r="B68" i="8"/>
  <c r="A68" i="8" s="1"/>
  <c r="B59" i="8"/>
  <c r="A59" i="8" s="1"/>
  <c r="B56" i="8"/>
  <c r="A56" i="8" s="1"/>
  <c r="B69" i="8"/>
  <c r="A69" i="8" s="1"/>
  <c r="B60" i="8"/>
  <c r="A60" i="8" s="1"/>
  <c r="B57" i="8"/>
  <c r="A57" i="8" s="1"/>
  <c r="B61" i="8"/>
  <c r="A61" i="8" s="1"/>
  <c r="B51" i="8"/>
  <c r="A51" i="8" s="1"/>
  <c r="B63" i="8"/>
  <c r="A63" i="8" s="1"/>
  <c r="B52" i="8"/>
  <c r="A52" i="8" s="1"/>
  <c r="B64" i="8"/>
  <c r="A64" i="8" s="1"/>
  <c r="B53" i="8"/>
  <c r="A53" i="8" s="1"/>
  <c r="B65" i="8"/>
  <c r="A65" i="8" s="1"/>
  <c r="B54" i="8"/>
  <c r="A54" i="8" s="1"/>
  <c r="B37" i="8"/>
  <c r="A37" i="8" s="1"/>
  <c r="B45" i="8"/>
  <c r="A45" i="8" s="1"/>
  <c r="B38" i="8"/>
  <c r="A38" i="8" s="1"/>
  <c r="B46" i="8"/>
  <c r="A46" i="8" s="1"/>
  <c r="B39" i="8"/>
  <c r="A39" i="8" s="1"/>
  <c r="B47" i="8"/>
  <c r="A47" i="8" s="1"/>
  <c r="B32" i="8"/>
  <c r="A32" i="8" s="1"/>
  <c r="B40" i="8"/>
  <c r="A40" i="8" s="1"/>
  <c r="B48" i="8"/>
  <c r="A48" i="8" s="1"/>
  <c r="B33" i="8"/>
  <c r="A33" i="8" s="1"/>
  <c r="B41" i="8"/>
  <c r="A41" i="8" s="1"/>
  <c r="B49" i="8"/>
  <c r="A49" i="8" s="1"/>
  <c r="B36" i="8"/>
  <c r="A36" i="8" s="1"/>
  <c r="B34" i="8"/>
  <c r="A34" i="8" s="1"/>
  <c r="B42" i="8"/>
  <c r="A42" i="8" s="1"/>
  <c r="B50" i="8"/>
  <c r="A50" i="8" s="1"/>
  <c r="B44" i="8"/>
  <c r="A44" i="8" s="1"/>
  <c r="B35" i="8"/>
  <c r="A35" i="8" s="1"/>
  <c r="B43" i="8"/>
  <c r="A43" i="8" s="1"/>
  <c r="B31" i="8"/>
  <c r="A31" i="8" s="1"/>
  <c r="B30" i="8"/>
  <c r="B61" i="5"/>
  <c r="A61" i="5" s="1"/>
  <c r="B62" i="5"/>
  <c r="A62" i="5" s="1"/>
  <c r="A31" i="14" l="1"/>
  <c r="B64" i="14"/>
  <c r="A64" i="14" s="1"/>
  <c r="A30" i="8"/>
  <c r="B82" i="8"/>
  <c r="A82" i="8" s="1"/>
  <c r="B83" i="8"/>
  <c r="A83" i="8" s="1"/>
  <c r="B95" i="8"/>
  <c r="A95" i="8" s="1"/>
  <c r="B106" i="16"/>
  <c r="A106" i="16" s="1"/>
  <c r="B108" i="16"/>
  <c r="A108" i="16" s="1"/>
  <c r="B104" i="16"/>
  <c r="A104" i="16" s="1"/>
  <c r="B102" i="16"/>
  <c r="A102" i="16" s="1"/>
  <c r="B111" i="16"/>
  <c r="A111" i="16" s="1"/>
  <c r="B107" i="16"/>
  <c r="A107" i="16" s="1"/>
  <c r="B103" i="16"/>
  <c r="A103" i="16" s="1"/>
  <c r="B110" i="16"/>
  <c r="A110" i="16" s="1"/>
  <c r="B109" i="16"/>
  <c r="A109" i="16" s="1"/>
  <c r="B105" i="16"/>
  <c r="A105" i="16" s="1"/>
  <c r="B62" i="14"/>
  <c r="A62" i="14" s="1"/>
  <c r="B63" i="14"/>
  <c r="A63" i="14" s="1"/>
  <c r="B60" i="14"/>
  <c r="A60" i="14" s="1"/>
  <c r="B55" i="14"/>
  <c r="A55" i="14" s="1"/>
  <c r="B61" i="14"/>
  <c r="A61" i="14" s="1"/>
  <c r="B52" i="14"/>
  <c r="A52" i="14" s="1"/>
  <c r="B56" i="14"/>
  <c r="A56" i="14" s="1"/>
  <c r="B53" i="14"/>
  <c r="A53" i="14" s="1"/>
  <c r="B57" i="14"/>
  <c r="A57" i="14" s="1"/>
  <c r="B54" i="14"/>
  <c r="A54" i="14" s="1"/>
  <c r="B59" i="14"/>
  <c r="A59" i="14" s="1"/>
  <c r="B58" i="14"/>
  <c r="A58" i="14" s="1"/>
  <c r="B51" i="14"/>
  <c r="A51" i="14" s="1"/>
  <c r="B60" i="12"/>
  <c r="B33" i="11"/>
  <c r="A33" i="11" s="1"/>
  <c r="B89" i="8"/>
  <c r="A89" i="8" s="1"/>
  <c r="B81" i="8"/>
  <c r="A81" i="8" s="1"/>
  <c r="B92" i="8"/>
  <c r="A92" i="8" s="1"/>
  <c r="B90" i="8"/>
  <c r="A90" i="8" s="1"/>
  <c r="B94" i="8"/>
  <c r="A94" i="8" s="1"/>
  <c r="B84" i="8"/>
  <c r="A84" i="8" s="1"/>
  <c r="B79" i="8"/>
  <c r="A79" i="8" s="1"/>
  <c r="B80" i="8"/>
  <c r="A80" i="8" s="1"/>
  <c r="B91" i="8"/>
  <c r="A91" i="8" s="1"/>
  <c r="B85" i="8"/>
  <c r="A85" i="8" s="1"/>
  <c r="B86" i="8"/>
  <c r="A86" i="8" s="1"/>
  <c r="B87" i="8"/>
  <c r="A87" i="8" s="1"/>
  <c r="B88" i="8"/>
  <c r="A88" i="8" s="1"/>
  <c r="B78" i="8"/>
  <c r="A78" i="8" s="1"/>
  <c r="B93" i="8"/>
  <c r="A93" i="8" s="1"/>
  <c r="B77" i="8"/>
  <c r="A77" i="8" s="1"/>
  <c r="B74" i="8"/>
  <c r="A74" i="8" s="1"/>
  <c r="B76" i="8"/>
  <c r="A76" i="8" s="1"/>
  <c r="B75" i="8"/>
  <c r="A75" i="8" s="1"/>
  <c r="B72" i="5"/>
  <c r="A72" i="5" s="1"/>
  <c r="B73" i="5"/>
  <c r="A73" i="5" s="1"/>
  <c r="B75" i="5"/>
  <c r="A75" i="5" s="1"/>
  <c r="B71" i="5"/>
  <c r="A71" i="5" s="1"/>
  <c r="B74" i="5"/>
  <c r="A74" i="5" s="1"/>
  <c r="B70" i="5"/>
  <c r="A70" i="5" s="1"/>
  <c r="B78" i="12" l="1"/>
  <c r="A78" i="12" s="1"/>
  <c r="A60" i="12"/>
  <c r="B135" i="16"/>
  <c r="A135" i="16" s="1"/>
  <c r="B136" i="16"/>
  <c r="A136" i="16" s="1"/>
  <c r="B137" i="16"/>
  <c r="A137" i="16" s="1"/>
  <c r="B131" i="16"/>
  <c r="A131" i="16" s="1"/>
  <c r="B132" i="16"/>
  <c r="A132" i="16" s="1"/>
  <c r="B133" i="16"/>
  <c r="A133" i="16" s="1"/>
  <c r="B134" i="16"/>
  <c r="A134" i="16" s="1"/>
  <c r="B129" i="16"/>
  <c r="A129" i="16" s="1"/>
  <c r="B130" i="16"/>
  <c r="A130" i="16" s="1"/>
  <c r="B125" i="16"/>
  <c r="A125" i="16" s="1"/>
  <c r="B121" i="16"/>
  <c r="A121" i="16" s="1"/>
  <c r="B117" i="16"/>
  <c r="A117" i="16" s="1"/>
  <c r="B127" i="16"/>
  <c r="A127" i="16" s="1"/>
  <c r="B128" i="16"/>
  <c r="A128" i="16" s="1"/>
  <c r="B124" i="16"/>
  <c r="A124" i="16" s="1"/>
  <c r="B120" i="16"/>
  <c r="A120" i="16" s="1"/>
  <c r="B116" i="16"/>
  <c r="A116" i="16" s="1"/>
  <c r="B119" i="16"/>
  <c r="A119" i="16" s="1"/>
  <c r="B126" i="16"/>
  <c r="A126" i="16" s="1"/>
  <c r="B122" i="16"/>
  <c r="A122" i="16" s="1"/>
  <c r="B118" i="16"/>
  <c r="A118" i="16" s="1"/>
  <c r="B123" i="16"/>
  <c r="A123" i="16" s="1"/>
  <c r="B76" i="14"/>
  <c r="A76" i="14" s="1"/>
  <c r="B73" i="14"/>
  <c r="A73" i="14" s="1"/>
  <c r="B70" i="14"/>
  <c r="A70" i="14" s="1"/>
  <c r="B75" i="14"/>
  <c r="A75" i="14" s="1"/>
  <c r="B69" i="14"/>
  <c r="A69" i="14" s="1"/>
  <c r="B72" i="14"/>
  <c r="A72" i="14" s="1"/>
  <c r="B74" i="14"/>
  <c r="A74" i="14" s="1"/>
  <c r="B71" i="14"/>
  <c r="A71" i="14" s="1"/>
  <c r="B77" i="14"/>
  <c r="A77" i="14" s="1"/>
  <c r="B74" i="12"/>
  <c r="A74" i="12" s="1"/>
  <c r="B70" i="12"/>
  <c r="A70" i="12" s="1"/>
  <c r="B66" i="12"/>
  <c r="A66" i="12" s="1"/>
  <c r="B77" i="12"/>
  <c r="A77" i="12" s="1"/>
  <c r="B73" i="12"/>
  <c r="A73" i="12" s="1"/>
  <c r="B69" i="12"/>
  <c r="A69" i="12" s="1"/>
  <c r="B65" i="12"/>
  <c r="A65" i="12" s="1"/>
  <c r="B67" i="12"/>
  <c r="A67" i="12" s="1"/>
  <c r="B72" i="12"/>
  <c r="A72" i="12" s="1"/>
  <c r="B71" i="12"/>
  <c r="A71" i="12" s="1"/>
  <c r="B76" i="12"/>
  <c r="A76" i="12" s="1"/>
  <c r="B68" i="12"/>
  <c r="A68" i="12" s="1"/>
  <c r="B75" i="12"/>
  <c r="A75" i="12" s="1"/>
  <c r="B44" i="11"/>
  <c r="A44" i="11" s="1"/>
  <c r="B48" i="11"/>
  <c r="A48" i="11" s="1"/>
  <c r="B45" i="11"/>
  <c r="A45" i="11" s="1"/>
  <c r="B49" i="11"/>
  <c r="A49" i="11" s="1"/>
  <c r="B47" i="11"/>
  <c r="A47" i="11" s="1"/>
  <c r="B46" i="11"/>
  <c r="A46" i="11" s="1"/>
  <c r="B50" i="11"/>
  <c r="A50" i="11" s="1"/>
  <c r="B40" i="11"/>
  <c r="A40" i="11" s="1"/>
  <c r="B43" i="11"/>
  <c r="A43" i="11" s="1"/>
  <c r="B39" i="11"/>
  <c r="A39" i="11" s="1"/>
  <c r="B42" i="11"/>
  <c r="A42" i="11" s="1"/>
  <c r="B38" i="11"/>
  <c r="A38" i="11" s="1"/>
  <c r="B41" i="11"/>
  <c r="A41" i="11" s="1"/>
  <c r="B103" i="8"/>
  <c r="A103" i="8" s="1"/>
  <c r="B104" i="8"/>
  <c r="A104" i="8" s="1"/>
  <c r="B100" i="8"/>
  <c r="A100" i="8" s="1"/>
  <c r="B101" i="8"/>
  <c r="A101" i="8" s="1"/>
  <c r="B102" i="8"/>
  <c r="A102" i="8" s="1"/>
  <c r="B99" i="8"/>
  <c r="A99" i="8" s="1"/>
  <c r="B161" i="16" l="1"/>
  <c r="A161" i="16" s="1"/>
  <c r="B162" i="16"/>
  <c r="A162" i="16" s="1"/>
  <c r="B163" i="16"/>
  <c r="A163" i="16" s="1"/>
  <c r="B158" i="16"/>
  <c r="A158" i="16" s="1"/>
  <c r="B154" i="16"/>
  <c r="A154" i="16" s="1"/>
  <c r="B150" i="16"/>
  <c r="A150" i="16" s="1"/>
  <c r="B146" i="16"/>
  <c r="A146" i="16" s="1"/>
  <c r="B142" i="16"/>
  <c r="A142" i="16" s="1"/>
  <c r="B152" i="16"/>
  <c r="A152" i="16" s="1"/>
  <c r="B157" i="16"/>
  <c r="A157" i="16" s="1"/>
  <c r="B153" i="16"/>
  <c r="A153" i="16" s="1"/>
  <c r="B149" i="16"/>
  <c r="A149" i="16" s="1"/>
  <c r="B145" i="16"/>
  <c r="A145" i="16" s="1"/>
  <c r="B160" i="16"/>
  <c r="A160" i="16" s="1"/>
  <c r="B156" i="16"/>
  <c r="A156" i="16" s="1"/>
  <c r="B144" i="16"/>
  <c r="A144" i="16" s="1"/>
  <c r="B159" i="16"/>
  <c r="A159" i="16" s="1"/>
  <c r="B155" i="16"/>
  <c r="A155" i="16" s="1"/>
  <c r="B151" i="16"/>
  <c r="A151" i="16" s="1"/>
  <c r="B147" i="16"/>
  <c r="A147" i="16" s="1"/>
  <c r="B143" i="16"/>
  <c r="A143" i="16" s="1"/>
  <c r="B148" i="16"/>
  <c r="A148" i="16" s="1"/>
  <c r="B96" i="14"/>
  <c r="A96" i="14" s="1"/>
  <c r="B90" i="14"/>
  <c r="A90" i="14" s="1"/>
  <c r="B97" i="14"/>
  <c r="A97" i="14" s="1"/>
  <c r="B91" i="14"/>
  <c r="A91" i="14" s="1"/>
  <c r="B92" i="14"/>
  <c r="A92" i="14" s="1"/>
  <c r="B93" i="14"/>
  <c r="A93" i="14" s="1"/>
  <c r="B94" i="14"/>
  <c r="A94" i="14" s="1"/>
  <c r="B95" i="14"/>
  <c r="A95" i="14" s="1"/>
  <c r="B86" i="14"/>
  <c r="A86" i="14" s="1"/>
  <c r="B87" i="14"/>
  <c r="A87" i="14" s="1"/>
  <c r="B88" i="14"/>
  <c r="A88" i="14" s="1"/>
  <c r="B89" i="14"/>
  <c r="A89" i="14" s="1"/>
  <c r="B85" i="14"/>
  <c r="A85" i="14" s="1"/>
  <c r="B82" i="14"/>
  <c r="B84" i="14"/>
  <c r="A84" i="14" s="1"/>
  <c r="B83" i="14"/>
  <c r="A83" i="14" s="1"/>
  <c r="B92" i="12"/>
  <c r="A92" i="12" s="1"/>
  <c r="B93" i="12"/>
  <c r="A93" i="12" s="1"/>
  <c r="B86" i="12"/>
  <c r="A86" i="12" s="1"/>
  <c r="B94" i="12"/>
  <c r="A94" i="12" s="1"/>
  <c r="B89" i="12"/>
  <c r="A89" i="12" s="1"/>
  <c r="B87" i="12"/>
  <c r="A87" i="12" s="1"/>
  <c r="B95" i="12"/>
  <c r="A95" i="12" s="1"/>
  <c r="B88" i="12"/>
  <c r="A88" i="12" s="1"/>
  <c r="B90" i="12"/>
  <c r="A90" i="12" s="1"/>
  <c r="B91" i="12"/>
  <c r="A91" i="12" s="1"/>
  <c r="B83" i="12"/>
  <c r="A83" i="12" s="1"/>
  <c r="B85" i="12"/>
  <c r="A85" i="12" s="1"/>
  <c r="B84" i="12"/>
  <c r="A84" i="12" s="1"/>
  <c r="B55" i="11"/>
  <c r="A55" i="11" s="1"/>
  <c r="B57" i="11"/>
  <c r="A57" i="11" s="1"/>
  <c r="B56" i="11"/>
  <c r="A56" i="11" s="1"/>
  <c r="B132" i="8"/>
  <c r="A132" i="8" s="1"/>
  <c r="B140" i="8"/>
  <c r="A140" i="8" s="1"/>
  <c r="B118" i="8"/>
  <c r="A118" i="8" s="1"/>
  <c r="B126" i="8"/>
  <c r="A126" i="8" s="1"/>
  <c r="B144" i="8"/>
  <c r="A144" i="8" s="1"/>
  <c r="B138" i="8"/>
  <c r="A138" i="8" s="1"/>
  <c r="B116" i="8"/>
  <c r="A116" i="8" s="1"/>
  <c r="B124" i="8"/>
  <c r="A124" i="8" s="1"/>
  <c r="B133" i="8"/>
  <c r="A133" i="8" s="1"/>
  <c r="B141" i="8"/>
  <c r="A141" i="8" s="1"/>
  <c r="B119" i="8"/>
  <c r="A119" i="8" s="1"/>
  <c r="B127" i="8"/>
  <c r="A127" i="8" s="1"/>
  <c r="B136" i="8"/>
  <c r="A136" i="8" s="1"/>
  <c r="B122" i="8"/>
  <c r="A122" i="8" s="1"/>
  <c r="B134" i="8"/>
  <c r="A134" i="8" s="1"/>
  <c r="B142" i="8"/>
  <c r="A142" i="8" s="1"/>
  <c r="B120" i="8"/>
  <c r="A120" i="8" s="1"/>
  <c r="B113" i="8"/>
  <c r="A113" i="8" s="1"/>
  <c r="B130" i="8"/>
  <c r="A130" i="8" s="1"/>
  <c r="B131" i="8"/>
  <c r="A131" i="8" s="1"/>
  <c r="B139" i="8"/>
  <c r="A139" i="8" s="1"/>
  <c r="B117" i="8"/>
  <c r="A117" i="8" s="1"/>
  <c r="B125" i="8"/>
  <c r="A125" i="8" s="1"/>
  <c r="B135" i="8"/>
  <c r="A135" i="8" s="1"/>
  <c r="B143" i="8"/>
  <c r="A143" i="8" s="1"/>
  <c r="B121" i="8"/>
  <c r="A121" i="8" s="1"/>
  <c r="B114" i="8"/>
  <c r="A114" i="8" s="1"/>
  <c r="B128" i="8"/>
  <c r="A128" i="8" s="1"/>
  <c r="B115" i="8"/>
  <c r="A115" i="8" s="1"/>
  <c r="B129" i="8"/>
  <c r="A129" i="8" s="1"/>
  <c r="B137" i="8"/>
  <c r="A137" i="8" s="1"/>
  <c r="B145" i="8"/>
  <c r="A145" i="8" s="1"/>
  <c r="B123" i="8"/>
  <c r="A123" i="8" s="1"/>
  <c r="B110" i="8"/>
  <c r="A110" i="8" s="1"/>
  <c r="B111" i="8"/>
  <c r="A111" i="8" s="1"/>
  <c r="B112" i="8"/>
  <c r="A112" i="8" s="1"/>
  <c r="B109" i="8"/>
  <c r="A109" i="8" s="1"/>
  <c r="B116" i="14" l="1"/>
  <c r="A116" i="14" s="1"/>
  <c r="A82" i="14"/>
  <c r="B177" i="16"/>
  <c r="A177" i="16" s="1"/>
  <c r="B173" i="16"/>
  <c r="A173" i="16" s="1"/>
  <c r="B169" i="16"/>
  <c r="A169" i="16" s="1"/>
  <c r="B175" i="16"/>
  <c r="A175" i="16" s="1"/>
  <c r="B179" i="16"/>
  <c r="A179" i="16" s="1"/>
  <c r="B176" i="16"/>
  <c r="A176" i="16" s="1"/>
  <c r="B172" i="16"/>
  <c r="A172" i="16" s="1"/>
  <c r="B168" i="16"/>
  <c r="A168" i="16" s="1"/>
  <c r="B178" i="16"/>
  <c r="A178" i="16" s="1"/>
  <c r="B174" i="16"/>
  <c r="A174" i="16" s="1"/>
  <c r="B170" i="16"/>
  <c r="A170" i="16" s="1"/>
  <c r="B171" i="16"/>
  <c r="A171" i="16" s="1"/>
  <c r="B115" i="14"/>
  <c r="A115" i="14" s="1"/>
  <c r="B110" i="14"/>
  <c r="A110" i="14" s="1"/>
  <c r="B109" i="14"/>
  <c r="A109" i="14" s="1"/>
  <c r="B111" i="14"/>
  <c r="A111" i="14" s="1"/>
  <c r="B112" i="14"/>
  <c r="A112" i="14" s="1"/>
  <c r="B113" i="14"/>
  <c r="A113" i="14" s="1"/>
  <c r="B114" i="14"/>
  <c r="A114" i="14" s="1"/>
  <c r="B108" i="14"/>
  <c r="A108" i="14" s="1"/>
  <c r="B103" i="14"/>
  <c r="A103" i="14" s="1"/>
  <c r="B107" i="14"/>
  <c r="A107" i="14" s="1"/>
  <c r="B104" i="14"/>
  <c r="A104" i="14" s="1"/>
  <c r="B105" i="14"/>
  <c r="A105" i="14" s="1"/>
  <c r="B106" i="14"/>
  <c r="A106" i="14" s="1"/>
  <c r="B102" i="14"/>
  <c r="A102" i="14" s="1"/>
  <c r="B107" i="12"/>
  <c r="A107" i="12" s="1"/>
  <c r="B108" i="12"/>
  <c r="A108" i="12" s="1"/>
  <c r="B109" i="12"/>
  <c r="A109" i="12" s="1"/>
  <c r="B114" i="12"/>
  <c r="A114" i="12" s="1"/>
  <c r="B110" i="12"/>
  <c r="A110" i="12" s="1"/>
  <c r="B111" i="12"/>
  <c r="A111" i="12" s="1"/>
  <c r="B113" i="12"/>
  <c r="A113" i="12" s="1"/>
  <c r="B112" i="12"/>
  <c r="A112" i="12" s="1"/>
  <c r="B105" i="12"/>
  <c r="A105" i="12" s="1"/>
  <c r="B101" i="12"/>
  <c r="A101" i="12" s="1"/>
  <c r="B104" i="12"/>
  <c r="A104" i="12" s="1"/>
  <c r="B100" i="12"/>
  <c r="A100" i="12" s="1"/>
  <c r="B106" i="12"/>
  <c r="A106" i="12" s="1"/>
  <c r="B103" i="12"/>
  <c r="A103" i="12" s="1"/>
  <c r="B102" i="12"/>
  <c r="A102" i="12" s="1"/>
  <c r="B65" i="11"/>
  <c r="A65" i="11" s="1"/>
  <c r="B68" i="11"/>
  <c r="A68" i="11" s="1"/>
  <c r="B64" i="11"/>
  <c r="A64" i="11" s="1"/>
  <c r="B67" i="11"/>
  <c r="A67" i="11" s="1"/>
  <c r="B63" i="11"/>
  <c r="A63" i="11" s="1"/>
  <c r="B62" i="11"/>
  <c r="A62" i="11" s="1"/>
  <c r="B66" i="11"/>
  <c r="A66" i="11" s="1"/>
  <c r="B156" i="8"/>
  <c r="A156" i="8" s="1"/>
  <c r="B164" i="8"/>
  <c r="A164" i="8" s="1"/>
  <c r="B172" i="8"/>
  <c r="A172" i="8" s="1"/>
  <c r="B180" i="8"/>
  <c r="A180" i="8" s="1"/>
  <c r="B188" i="8"/>
  <c r="A188" i="8" s="1"/>
  <c r="B157" i="8"/>
  <c r="A157" i="8" s="1"/>
  <c r="B165" i="8"/>
  <c r="A165" i="8" s="1"/>
  <c r="B173" i="8"/>
  <c r="A173" i="8" s="1"/>
  <c r="B181" i="8"/>
  <c r="A181" i="8" s="1"/>
  <c r="B189" i="8"/>
  <c r="A189" i="8" s="1"/>
  <c r="B171" i="8"/>
  <c r="A171" i="8" s="1"/>
  <c r="B158" i="8"/>
  <c r="A158" i="8" s="1"/>
  <c r="B166" i="8"/>
  <c r="A166" i="8" s="1"/>
  <c r="B174" i="8"/>
  <c r="A174" i="8" s="1"/>
  <c r="B182" i="8"/>
  <c r="A182" i="8" s="1"/>
  <c r="B190" i="8"/>
  <c r="A190" i="8" s="1"/>
  <c r="B150" i="8"/>
  <c r="B155" i="8"/>
  <c r="A155" i="8" s="1"/>
  <c r="B163" i="8"/>
  <c r="A163" i="8" s="1"/>
  <c r="B179" i="8"/>
  <c r="A179" i="8" s="1"/>
  <c r="B187" i="8"/>
  <c r="A187" i="8" s="1"/>
  <c r="B151" i="8"/>
  <c r="A151" i="8" s="1"/>
  <c r="B159" i="8"/>
  <c r="A159" i="8" s="1"/>
  <c r="B167" i="8"/>
  <c r="A167" i="8" s="1"/>
  <c r="B175" i="8"/>
  <c r="A175" i="8" s="1"/>
  <c r="B183" i="8"/>
  <c r="A183" i="8" s="1"/>
  <c r="B191" i="8"/>
  <c r="A191" i="8" s="1"/>
  <c r="B154" i="8"/>
  <c r="A154" i="8" s="1"/>
  <c r="B162" i="8"/>
  <c r="A162" i="8" s="1"/>
  <c r="B170" i="8"/>
  <c r="A170" i="8" s="1"/>
  <c r="B178" i="8"/>
  <c r="A178" i="8" s="1"/>
  <c r="B186" i="8"/>
  <c r="A186" i="8" s="1"/>
  <c r="B152" i="8"/>
  <c r="A152" i="8" s="1"/>
  <c r="B160" i="8"/>
  <c r="A160" i="8" s="1"/>
  <c r="B168" i="8"/>
  <c r="A168" i="8" s="1"/>
  <c r="B176" i="8"/>
  <c r="A176" i="8" s="1"/>
  <c r="B184" i="8"/>
  <c r="A184" i="8" s="1"/>
  <c r="B192" i="8"/>
  <c r="A192" i="8" s="1"/>
  <c r="B153" i="8"/>
  <c r="A153" i="8" s="1"/>
  <c r="B161" i="8"/>
  <c r="A161" i="8" s="1"/>
  <c r="B169" i="8"/>
  <c r="A169" i="8" s="1"/>
  <c r="B177" i="8"/>
  <c r="A177" i="8" s="1"/>
  <c r="B185" i="8"/>
  <c r="A185" i="8" s="1"/>
  <c r="B193" i="8"/>
  <c r="A193" i="8" s="1"/>
  <c r="A150" i="8" l="1"/>
  <c r="B200" i="8"/>
  <c r="A200" i="8" s="1"/>
  <c r="B277" i="16"/>
  <c r="A277" i="16" s="1"/>
  <c r="B272" i="16"/>
  <c r="A272" i="16" s="1"/>
  <c r="B278" i="16"/>
  <c r="A278" i="16" s="1"/>
  <c r="B273" i="16"/>
  <c r="A273" i="16" s="1"/>
  <c r="B279" i="16"/>
  <c r="A279" i="16" s="1"/>
  <c r="B280" i="16"/>
  <c r="A280" i="16" s="1"/>
  <c r="B274" i="16"/>
  <c r="A274" i="16" s="1"/>
  <c r="B281" i="16"/>
  <c r="A281" i="16" s="1"/>
  <c r="B275" i="16"/>
  <c r="A275" i="16" s="1"/>
  <c r="B282" i="16"/>
  <c r="A282" i="16" s="1"/>
  <c r="B276" i="16"/>
  <c r="A276" i="16" s="1"/>
  <c r="B271" i="16"/>
  <c r="A271" i="16" s="1"/>
  <c r="B249" i="16"/>
  <c r="A249" i="16" s="1"/>
  <c r="B256" i="16"/>
  <c r="A256" i="16" s="1"/>
  <c r="B263" i="16"/>
  <c r="A263" i="16" s="1"/>
  <c r="B250" i="16"/>
  <c r="A250" i="16" s="1"/>
  <c r="B257" i="16"/>
  <c r="A257" i="16" s="1"/>
  <c r="B264" i="16"/>
  <c r="A264" i="16" s="1"/>
  <c r="B251" i="16"/>
  <c r="A251" i="16" s="1"/>
  <c r="B252" i="16"/>
  <c r="A252" i="16" s="1"/>
  <c r="B258" i="16"/>
  <c r="A258" i="16" s="1"/>
  <c r="B265" i="16"/>
  <c r="A265" i="16" s="1"/>
  <c r="B262" i="16"/>
  <c r="A262" i="16" s="1"/>
  <c r="B253" i="16"/>
  <c r="A253" i="16" s="1"/>
  <c r="B259" i="16"/>
  <c r="A259" i="16" s="1"/>
  <c r="B254" i="16"/>
  <c r="A254" i="16" s="1"/>
  <c r="B260" i="16"/>
  <c r="A260" i="16" s="1"/>
  <c r="B248" i="16"/>
  <c r="A248" i="16" s="1"/>
  <c r="B247" i="16"/>
  <c r="A247" i="16" s="1"/>
  <c r="B255" i="16"/>
  <c r="A255" i="16" s="1"/>
  <c r="B261" i="16"/>
  <c r="A261" i="16" s="1"/>
  <c r="B236" i="16"/>
  <c r="A236" i="16" s="1"/>
  <c r="B237" i="16"/>
  <c r="A237" i="16" s="1"/>
  <c r="B238" i="16"/>
  <c r="A238" i="16" s="1"/>
  <c r="B239" i="16"/>
  <c r="A239" i="16" s="1"/>
  <c r="B240" i="16"/>
  <c r="A240" i="16" s="1"/>
  <c r="B241" i="16"/>
  <c r="A241" i="16" s="1"/>
  <c r="B218" i="16"/>
  <c r="A218" i="16" s="1"/>
  <c r="B226" i="16"/>
  <c r="A226" i="16" s="1"/>
  <c r="B234" i="16"/>
  <c r="A234" i="16" s="1"/>
  <c r="B211" i="16"/>
  <c r="A211" i="16" s="1"/>
  <c r="B219" i="16"/>
  <c r="A219" i="16" s="1"/>
  <c r="B227" i="16"/>
  <c r="A227" i="16" s="1"/>
  <c r="B235" i="16"/>
  <c r="A235" i="16" s="1"/>
  <c r="B217" i="16"/>
  <c r="A217" i="16" s="1"/>
  <c r="B212" i="16"/>
  <c r="A212" i="16" s="1"/>
  <c r="B220" i="16"/>
  <c r="A220" i="16" s="1"/>
  <c r="B228" i="16"/>
  <c r="A228" i="16" s="1"/>
  <c r="B213" i="16"/>
  <c r="A213" i="16" s="1"/>
  <c r="B221" i="16"/>
  <c r="A221" i="16" s="1"/>
  <c r="B229" i="16"/>
  <c r="A229" i="16" s="1"/>
  <c r="B233" i="16"/>
  <c r="A233" i="16" s="1"/>
  <c r="B214" i="16"/>
  <c r="A214" i="16" s="1"/>
  <c r="B222" i="16"/>
  <c r="A222" i="16" s="1"/>
  <c r="B230" i="16"/>
  <c r="A230" i="16" s="1"/>
  <c r="B224" i="16"/>
  <c r="A224" i="16" s="1"/>
  <c r="B215" i="16"/>
  <c r="A215" i="16" s="1"/>
  <c r="B223" i="16"/>
  <c r="A223" i="16" s="1"/>
  <c r="B231" i="16"/>
  <c r="A231" i="16" s="1"/>
  <c r="B216" i="16"/>
  <c r="A216" i="16" s="1"/>
  <c r="B232" i="16"/>
  <c r="A232" i="16" s="1"/>
  <c r="B225" i="16"/>
  <c r="A225" i="16" s="1"/>
  <c r="B205" i="16"/>
  <c r="A205" i="16" s="1"/>
  <c r="B189" i="16"/>
  <c r="A189" i="16" s="1"/>
  <c r="B197" i="16"/>
  <c r="A197" i="16" s="1"/>
  <c r="B204" i="16"/>
  <c r="A204" i="16" s="1"/>
  <c r="B190" i="16"/>
  <c r="A190" i="16" s="1"/>
  <c r="B198" i="16"/>
  <c r="A198" i="16" s="1"/>
  <c r="B270" i="16"/>
  <c r="A270" i="16" s="1"/>
  <c r="B191" i="16"/>
  <c r="A191" i="16" s="1"/>
  <c r="B199" i="16"/>
  <c r="A199" i="16" s="1"/>
  <c r="B246" i="16"/>
  <c r="A246" i="16" s="1"/>
  <c r="B203" i="16"/>
  <c r="A203" i="16" s="1"/>
  <c r="B196" i="16"/>
  <c r="A196" i="16" s="1"/>
  <c r="B192" i="16"/>
  <c r="A192" i="16" s="1"/>
  <c r="B200" i="16"/>
  <c r="A200" i="16" s="1"/>
  <c r="B210" i="16"/>
  <c r="A210" i="16" s="1"/>
  <c r="B195" i="16"/>
  <c r="A195" i="16" s="1"/>
  <c r="B185" i="16"/>
  <c r="A185" i="16" s="1"/>
  <c r="B193" i="16"/>
  <c r="A193" i="16" s="1"/>
  <c r="B201" i="16"/>
  <c r="A201" i="16" s="1"/>
  <c r="B184" i="16"/>
  <c r="A184" i="16" s="1"/>
  <c r="B186" i="16"/>
  <c r="A186" i="16" s="1"/>
  <c r="B194" i="16"/>
  <c r="A194" i="16" s="1"/>
  <c r="B202" i="16"/>
  <c r="A202" i="16" s="1"/>
  <c r="B187" i="16"/>
  <c r="A187" i="16" s="1"/>
  <c r="B188" i="16"/>
  <c r="A188" i="16" s="1"/>
  <c r="B119" i="12"/>
  <c r="A119" i="12" s="1"/>
  <c r="B76" i="11"/>
  <c r="A76" i="11" s="1"/>
  <c r="B75" i="11"/>
  <c r="A75" i="11" s="1"/>
  <c r="B74" i="11"/>
  <c r="A74" i="11" s="1"/>
  <c r="B73" i="11"/>
  <c r="A73" i="11" s="1"/>
  <c r="B210" i="8"/>
  <c r="A210" i="8" s="1"/>
  <c r="B218" i="8"/>
  <c r="A218" i="8" s="1"/>
  <c r="B221" i="8"/>
  <c r="A221" i="8" s="1"/>
  <c r="B203" i="8"/>
  <c r="A203" i="8" s="1"/>
  <c r="B211" i="8"/>
  <c r="A211" i="8" s="1"/>
  <c r="B219" i="8"/>
  <c r="A219" i="8" s="1"/>
  <c r="B207" i="8"/>
  <c r="A207" i="8" s="1"/>
  <c r="B208" i="8"/>
  <c r="A208" i="8" s="1"/>
  <c r="B217" i="8"/>
  <c r="A217" i="8" s="1"/>
  <c r="B222" i="8"/>
  <c r="A222" i="8" s="1"/>
  <c r="B204" i="8"/>
  <c r="A204" i="8" s="1"/>
  <c r="B212" i="8"/>
  <c r="A212" i="8" s="1"/>
  <c r="B220" i="8"/>
  <c r="A220" i="8" s="1"/>
  <c r="B215" i="8"/>
  <c r="A215" i="8" s="1"/>
  <c r="B226" i="8"/>
  <c r="A226" i="8" s="1"/>
  <c r="B223" i="8"/>
  <c r="A223" i="8" s="1"/>
  <c r="B205" i="8"/>
  <c r="A205" i="8" s="1"/>
  <c r="B213" i="8"/>
  <c r="A213" i="8" s="1"/>
  <c r="B201" i="8"/>
  <c r="A201" i="8" s="1"/>
  <c r="B225" i="8"/>
  <c r="A225" i="8" s="1"/>
  <c r="B216" i="8"/>
  <c r="A216" i="8" s="1"/>
  <c r="B209" i="8"/>
  <c r="A209" i="8" s="1"/>
  <c r="B224" i="8"/>
  <c r="A224" i="8" s="1"/>
  <c r="B206" i="8"/>
  <c r="A206" i="8" s="1"/>
  <c r="B214" i="8"/>
  <c r="A214" i="8" s="1"/>
  <c r="B202" i="8"/>
  <c r="A202" i="8" s="1"/>
  <c r="B227" i="8"/>
  <c r="A227" i="8" s="1"/>
  <c r="B198" i="8"/>
  <c r="A198" i="8" s="1"/>
  <c r="B199" i="8"/>
  <c r="A199" i="8" s="1"/>
  <c r="B90" i="11" l="1"/>
  <c r="A90" i="11" s="1"/>
  <c r="B87" i="11"/>
  <c r="A87" i="11" s="1"/>
  <c r="B83" i="11"/>
  <c r="A83" i="11" s="1"/>
  <c r="B89" i="11"/>
  <c r="A89" i="11" s="1"/>
  <c r="B86" i="11"/>
  <c r="A86" i="11" s="1"/>
  <c r="B82" i="11"/>
  <c r="A82" i="11" s="1"/>
  <c r="B92" i="11"/>
  <c r="A92" i="11" s="1"/>
  <c r="B85" i="11"/>
  <c r="A85" i="11" s="1"/>
  <c r="B81" i="11"/>
  <c r="A81" i="11" s="1"/>
  <c r="B84" i="11"/>
  <c r="A84" i="11" s="1"/>
  <c r="B91" i="11"/>
  <c r="A91" i="11" s="1"/>
  <c r="B88" i="11"/>
  <c r="A88" i="11" s="1"/>
  <c r="B248" i="8"/>
  <c r="A248" i="8" s="1"/>
  <c r="B238" i="8"/>
  <c r="A238" i="8" s="1"/>
  <c r="B232" i="8"/>
  <c r="A232" i="8" s="1"/>
  <c r="B250" i="8"/>
  <c r="A250" i="8" s="1"/>
  <c r="B249" i="8"/>
  <c r="A249" i="8" s="1"/>
  <c r="B239" i="8"/>
  <c r="A239" i="8" s="1"/>
  <c r="B252" i="8"/>
  <c r="A252" i="8" s="1"/>
  <c r="B233" i="8"/>
  <c r="A233" i="8" s="1"/>
  <c r="B241" i="8"/>
  <c r="A241" i="8" s="1"/>
  <c r="B253" i="8"/>
  <c r="A253" i="8" s="1"/>
  <c r="B243" i="8"/>
  <c r="A243" i="8" s="1"/>
  <c r="B254" i="8"/>
  <c r="A254" i="8" s="1"/>
  <c r="B244" i="8"/>
  <c r="A244" i="8" s="1"/>
  <c r="B240" i="8"/>
  <c r="A240" i="8" s="1"/>
  <c r="B234" i="8"/>
  <c r="A234" i="8" s="1"/>
  <c r="B242" i="8"/>
  <c r="A242" i="8" s="1"/>
  <c r="B235" i="8"/>
  <c r="A235" i="8" s="1"/>
  <c r="B236" i="8"/>
  <c r="A236" i="8" s="1"/>
  <c r="B246" i="8"/>
  <c r="A246" i="8" s="1"/>
  <c r="B247" i="8"/>
  <c r="A247" i="8" s="1"/>
  <c r="B237" i="8"/>
  <c r="A237" i="8" s="1"/>
  <c r="B245" i="8"/>
  <c r="A245" i="8" s="1"/>
  <c r="B251" i="8"/>
  <c r="A251" i="8" s="1"/>
  <c r="B99" i="11" l="1"/>
  <c r="A99" i="11" s="1"/>
  <c r="B98" i="11"/>
  <c r="A98" i="11" s="1"/>
  <c r="B97" i="11"/>
  <c r="A97" i="11" s="1"/>
  <c r="B264" i="8"/>
  <c r="A264" i="8" s="1"/>
  <c r="B272" i="8"/>
  <c r="A272" i="8" s="1"/>
  <c r="B265" i="8"/>
  <c r="A265" i="8" s="1"/>
  <c r="B273" i="8"/>
  <c r="A273" i="8" s="1"/>
  <c r="B266" i="8"/>
  <c r="A266" i="8" s="1"/>
  <c r="B274" i="8"/>
  <c r="A274" i="8" s="1"/>
  <c r="B278" i="8"/>
  <c r="A278" i="8" s="1"/>
  <c r="B267" i="8"/>
  <c r="A267" i="8" s="1"/>
  <c r="B275" i="8"/>
  <c r="A275" i="8" s="1"/>
  <c r="B261" i="8"/>
  <c r="A261" i="8" s="1"/>
  <c r="B262" i="8"/>
  <c r="A262" i="8" s="1"/>
  <c r="B260" i="8"/>
  <c r="A260" i="8" s="1"/>
  <c r="B268" i="8"/>
  <c r="A268" i="8" s="1"/>
  <c r="B276" i="8"/>
  <c r="A276" i="8" s="1"/>
  <c r="B269" i="8"/>
  <c r="A269" i="8" s="1"/>
  <c r="B277" i="8"/>
  <c r="A277" i="8" s="1"/>
  <c r="B270" i="8"/>
  <c r="A270" i="8" s="1"/>
  <c r="B263" i="8"/>
  <c r="A263" i="8" s="1"/>
  <c r="B271" i="8"/>
  <c r="A271" i="8" s="1"/>
  <c r="B279" i="8"/>
  <c r="A279" i="8" s="1"/>
  <c r="B259" i="8"/>
  <c r="A259" i="8" s="1"/>
  <c r="B108" i="11" l="1"/>
  <c r="A108" i="11" s="1"/>
  <c r="B104" i="11"/>
  <c r="A104" i="11" s="1"/>
  <c r="B107" i="11"/>
  <c r="A107" i="11" s="1"/>
  <c r="B106" i="11"/>
  <c r="A106" i="11" s="1"/>
  <c r="B105" i="11"/>
  <c r="A105" i="11" s="1"/>
  <c r="B109" i="11"/>
  <c r="A109" i="11" s="1"/>
  <c r="B110" i="11"/>
  <c r="A110" i="11" s="1"/>
  <c r="B289" i="8"/>
  <c r="A289" i="8" s="1"/>
  <c r="B297" i="8"/>
  <c r="A297" i="8" s="1"/>
  <c r="B305" i="8"/>
  <c r="A305" i="8" s="1"/>
  <c r="B290" i="8"/>
  <c r="A290" i="8" s="1"/>
  <c r="B298" i="8"/>
  <c r="A298" i="8" s="1"/>
  <c r="B306" i="8"/>
  <c r="A306" i="8" s="1"/>
  <c r="B293" i="8"/>
  <c r="A293" i="8" s="1"/>
  <c r="B291" i="8"/>
  <c r="A291" i="8" s="1"/>
  <c r="B299" i="8"/>
  <c r="A299" i="8" s="1"/>
  <c r="B307" i="8"/>
  <c r="A307" i="8" s="1"/>
  <c r="B301" i="8"/>
  <c r="A301" i="8" s="1"/>
  <c r="B292" i="8"/>
  <c r="A292" i="8" s="1"/>
  <c r="B300" i="8"/>
  <c r="A300" i="8" s="1"/>
  <c r="B308" i="8"/>
  <c r="A308" i="8" s="1"/>
  <c r="B309" i="8"/>
  <c r="A309" i="8" s="1"/>
  <c r="B294" i="8"/>
  <c r="A294" i="8" s="1"/>
  <c r="B302" i="8"/>
  <c r="A302" i="8" s="1"/>
  <c r="B310" i="8"/>
  <c r="A310" i="8" s="1"/>
  <c r="B296" i="8"/>
  <c r="A296" i="8" s="1"/>
  <c r="B304" i="8"/>
  <c r="A304" i="8" s="1"/>
  <c r="B295" i="8"/>
  <c r="A295" i="8" s="1"/>
  <c r="B303" i="8"/>
  <c r="A303" i="8" s="1"/>
  <c r="B311" i="8"/>
  <c r="A311" i="8" s="1"/>
  <c r="B284" i="8"/>
  <c r="A284" i="8" s="1"/>
  <c r="B285" i="8"/>
  <c r="A285" i="8" s="1"/>
  <c r="B286" i="8"/>
  <c r="A286" i="8" s="1"/>
  <c r="B287" i="8"/>
  <c r="A287" i="8" s="1"/>
  <c r="B288" i="8"/>
  <c r="A288" i="8" s="1"/>
  <c r="B116" i="11" l="1"/>
  <c r="A116" i="11" s="1"/>
  <c r="B117" i="11"/>
  <c r="A117" i="11" s="1"/>
  <c r="B118" i="11"/>
  <c r="A118" i="11" s="1"/>
  <c r="B119" i="11"/>
  <c r="A119" i="11" s="1"/>
  <c r="B115" i="11"/>
  <c r="A115" i="11" s="1"/>
  <c r="B316" i="8"/>
  <c r="A316" i="8" s="1"/>
  <c r="B131" i="11" l="1"/>
  <c r="A131" i="11" s="1"/>
  <c r="B127" i="11"/>
  <c r="A127" i="11" s="1"/>
  <c r="B130" i="11"/>
  <c r="A130" i="11" s="1"/>
  <c r="B126" i="11"/>
  <c r="A126" i="11" s="1"/>
  <c r="B129" i="11"/>
  <c r="A129" i="11" s="1"/>
  <c r="B128" i="11"/>
  <c r="A128" i="11" s="1"/>
  <c r="B132" i="11"/>
  <c r="A132" i="11" s="1"/>
  <c r="B124" i="11"/>
  <c r="A124" i="11" s="1"/>
  <c r="B125" i="11"/>
  <c r="A125" i="11" s="1"/>
  <c r="B322" i="8"/>
  <c r="A322" i="8" s="1"/>
  <c r="B330" i="8"/>
  <c r="A330" i="8" s="1"/>
  <c r="B323" i="8"/>
  <c r="A323" i="8" s="1"/>
  <c r="B331" i="8"/>
  <c r="A331" i="8" s="1"/>
  <c r="B328" i="8"/>
  <c r="A328" i="8" s="1"/>
  <c r="B329" i="8"/>
  <c r="A329" i="8" s="1"/>
  <c r="B324" i="8"/>
  <c r="A324" i="8" s="1"/>
  <c r="B332" i="8"/>
  <c r="A332" i="8" s="1"/>
  <c r="B334" i="8"/>
  <c r="A334" i="8" s="1"/>
  <c r="B335" i="8"/>
  <c r="A335" i="8" s="1"/>
  <c r="B337" i="8"/>
  <c r="A337" i="8" s="1"/>
  <c r="B325" i="8"/>
  <c r="A325" i="8" s="1"/>
  <c r="B333" i="8"/>
  <c r="A333" i="8" s="1"/>
  <c r="B326" i="8"/>
  <c r="A326" i="8" s="1"/>
  <c r="B327" i="8"/>
  <c r="A327" i="8" s="1"/>
  <c r="B336" i="8"/>
  <c r="A336" i="8" s="1"/>
  <c r="B321" i="8"/>
  <c r="A321" i="8" s="1"/>
  <c r="B150" i="11" l="1"/>
  <c r="A150" i="11" s="1"/>
  <c r="B147" i="11"/>
  <c r="A147" i="11" s="1"/>
  <c r="B143" i="11"/>
  <c r="A143" i="11" s="1"/>
  <c r="B139" i="11"/>
  <c r="A139" i="11" s="1"/>
  <c r="B146" i="11"/>
  <c r="A146" i="11" s="1"/>
  <c r="B142" i="11"/>
  <c r="A142" i="11" s="1"/>
  <c r="B138" i="11"/>
  <c r="A138" i="11" s="1"/>
  <c r="B149" i="11"/>
  <c r="A149" i="11" s="1"/>
  <c r="B141" i="11"/>
  <c r="A141" i="11" s="1"/>
  <c r="B148" i="11"/>
  <c r="A148" i="11" s="1"/>
  <c r="B140" i="11"/>
  <c r="A140" i="11" s="1"/>
  <c r="B144" i="11"/>
  <c r="A144" i="11" s="1"/>
  <c r="B137" i="11"/>
  <c r="A137" i="11" s="1"/>
  <c r="B145" i="11"/>
  <c r="A145" i="11" s="1"/>
  <c r="B346" i="8"/>
  <c r="A346" i="8" s="1"/>
  <c r="B354" i="8"/>
  <c r="A354" i="8" s="1"/>
  <c r="B344" i="8"/>
  <c r="A344" i="8" s="1"/>
  <c r="B347" i="8"/>
  <c r="A347" i="8" s="1"/>
  <c r="B355" i="8"/>
  <c r="A355" i="8" s="1"/>
  <c r="B348" i="8"/>
  <c r="A348" i="8" s="1"/>
  <c r="B342" i="8"/>
  <c r="A342" i="8" s="1"/>
  <c r="B349" i="8"/>
  <c r="A349" i="8" s="1"/>
  <c r="B350" i="8"/>
  <c r="A350" i="8" s="1"/>
  <c r="B343" i="8"/>
  <c r="A343" i="8" s="1"/>
  <c r="B351" i="8"/>
  <c r="A351" i="8" s="1"/>
  <c r="B345" i="8"/>
  <c r="A345" i="8" s="1"/>
  <c r="B353" i="8"/>
  <c r="A353" i="8" s="1"/>
  <c r="B352" i="8"/>
  <c r="A352" i="8" s="1"/>
  <c r="B156" i="11" l="1"/>
  <c r="A156" i="11" s="1"/>
  <c r="B157" i="11"/>
  <c r="A157" i="11" s="1"/>
  <c r="B155" i="11"/>
  <c r="B360" i="8"/>
  <c r="A360" i="8" s="1"/>
  <c r="B165" i="11" l="1"/>
  <c r="A165" i="11" s="1"/>
  <c r="A155" i="11"/>
  <c r="B164" i="11"/>
  <c r="A164" i="11" s="1"/>
  <c r="B162" i="11"/>
  <c r="B163" i="11"/>
  <c r="A163" i="11" s="1"/>
  <c r="B365" i="8"/>
  <c r="A365" i="8" s="1"/>
  <c r="B366" i="8"/>
  <c r="A366" i="8" s="1"/>
  <c r="B367" i="8"/>
  <c r="A367" i="8" s="1"/>
  <c r="B368" i="8"/>
  <c r="A368" i="8" s="1"/>
  <c r="B369" i="8"/>
  <c r="A369" i="8" s="1"/>
  <c r="A162" i="11" l="1"/>
  <c r="B171" i="11"/>
  <c r="A171" i="11" s="1"/>
  <c r="B170" i="11"/>
  <c r="A170" i="11" s="1"/>
  <c r="B169" i="11"/>
  <c r="B375" i="8"/>
  <c r="A375" i="8" s="1"/>
  <c r="B383" i="8"/>
  <c r="A383" i="8" s="1"/>
  <c r="B376" i="8"/>
  <c r="A376" i="8" s="1"/>
  <c r="B384" i="8"/>
  <c r="A384" i="8" s="1"/>
  <c r="B377" i="8"/>
  <c r="A377" i="8" s="1"/>
  <c r="B385" i="8"/>
  <c r="A385" i="8" s="1"/>
  <c r="B380" i="8"/>
  <c r="A380" i="8" s="1"/>
  <c r="B381" i="8"/>
  <c r="A381" i="8" s="1"/>
  <c r="B378" i="8"/>
  <c r="A378" i="8" s="1"/>
  <c r="B386" i="8"/>
  <c r="A386" i="8" s="1"/>
  <c r="B389" i="8"/>
  <c r="A389" i="8" s="1"/>
  <c r="B379" i="8"/>
  <c r="A379" i="8" s="1"/>
  <c r="B387" i="8"/>
  <c r="A387" i="8" s="1"/>
  <c r="B388" i="8"/>
  <c r="A388" i="8" s="1"/>
  <c r="B382" i="8"/>
  <c r="A382" i="8" s="1"/>
  <c r="B390" i="8"/>
  <c r="A390" i="8" s="1"/>
  <c r="B374" i="8"/>
  <c r="A374" i="8" s="1"/>
  <c r="B176" i="11" l="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A255" i="11" s="1"/>
  <c r="B256" i="11"/>
  <c r="A256" i="11" s="1"/>
  <c r="B257" i="11"/>
  <c r="A257" i="11" s="1"/>
  <c r="A169" i="11"/>
  <c r="B395" i="8"/>
  <c r="A395" i="8" s="1"/>
  <c r="B262" i="11" l="1"/>
  <c r="A262" i="11" s="1"/>
  <c r="B263" i="11"/>
  <c r="A263" i="11" s="1"/>
  <c r="B405" i="8"/>
  <c r="A405" i="8" s="1"/>
  <c r="B406" i="8"/>
  <c r="A406" i="8" s="1"/>
  <c r="B407" i="8"/>
  <c r="A407" i="8" s="1"/>
  <c r="B408" i="8"/>
  <c r="A408" i="8" s="1"/>
  <c r="B401" i="8"/>
  <c r="A401" i="8" s="1"/>
  <c r="B403" i="8"/>
  <c r="A403" i="8" s="1"/>
  <c r="B402" i="8"/>
  <c r="A402" i="8" s="1"/>
  <c r="B404" i="8"/>
  <c r="A404" i="8" s="1"/>
  <c r="B400" i="8"/>
  <c r="A400" i="8" s="1"/>
  <c r="B417" i="8" l="1"/>
  <c r="A417" i="8" s="1"/>
  <c r="B425" i="8"/>
  <c r="A425" i="8" s="1"/>
  <c r="B421" i="8"/>
  <c r="A421" i="8" s="1"/>
  <c r="B418" i="8"/>
  <c r="A418" i="8" s="1"/>
  <c r="B426" i="8"/>
  <c r="A426" i="8" s="1"/>
  <c r="B419" i="8"/>
  <c r="A419" i="8" s="1"/>
  <c r="B420" i="8"/>
  <c r="A420" i="8" s="1"/>
  <c r="B414" i="8"/>
  <c r="A414" i="8" s="1"/>
  <c r="B422" i="8"/>
  <c r="A422" i="8" s="1"/>
  <c r="B416" i="8"/>
  <c r="A416" i="8" s="1"/>
  <c r="B415" i="8"/>
  <c r="A415" i="8" s="1"/>
  <c r="B423" i="8"/>
  <c r="A423" i="8" s="1"/>
  <c r="B424" i="8"/>
  <c r="A424" i="8" s="1"/>
  <c r="B413" i="8"/>
  <c r="A413" i="8" l="1"/>
  <c r="B470" i="8"/>
  <c r="A470" i="8" s="1"/>
  <c r="B445" i="8"/>
  <c r="A445" i="8" s="1"/>
  <c r="B453" i="8"/>
  <c r="A453" i="8" s="1"/>
  <c r="B461" i="8"/>
  <c r="A461" i="8" s="1"/>
  <c r="B438" i="8"/>
  <c r="A438" i="8" s="1"/>
  <c r="B437" i="8"/>
  <c r="A437" i="8" s="1"/>
  <c r="B455" i="8"/>
  <c r="A455" i="8" s="1"/>
  <c r="B456" i="8"/>
  <c r="A456" i="8" s="1"/>
  <c r="B435" i="8"/>
  <c r="A435" i="8" s="1"/>
  <c r="B446" i="8"/>
  <c r="A446" i="8" s="1"/>
  <c r="B454" i="8"/>
  <c r="A454" i="8" s="1"/>
  <c r="B462" i="8"/>
  <c r="A462" i="8" s="1"/>
  <c r="B439" i="8"/>
  <c r="A439" i="8" s="1"/>
  <c r="B433" i="8"/>
  <c r="A433" i="8" s="1"/>
  <c r="B447" i="8"/>
  <c r="A447" i="8" s="1"/>
  <c r="B463" i="8"/>
  <c r="A463" i="8" s="1"/>
  <c r="B440" i="8"/>
  <c r="A440" i="8" s="1"/>
  <c r="B434" i="8"/>
  <c r="A434" i="8" s="1"/>
  <c r="B448" i="8"/>
  <c r="A448" i="8" s="1"/>
  <c r="B464" i="8"/>
  <c r="A464" i="8" s="1"/>
  <c r="B441" i="8"/>
  <c r="A441" i="8" s="1"/>
  <c r="B451" i="8"/>
  <c r="A451" i="8" s="1"/>
  <c r="B459" i="8"/>
  <c r="A459" i="8" s="1"/>
  <c r="B467" i="8"/>
  <c r="A467" i="8" s="1"/>
  <c r="B444" i="8"/>
  <c r="A444" i="8" s="1"/>
  <c r="B469" i="8"/>
  <c r="A469" i="8" s="1"/>
  <c r="B452" i="8"/>
  <c r="A452" i="8" s="1"/>
  <c r="B460" i="8"/>
  <c r="A460" i="8" s="1"/>
  <c r="B468" i="8"/>
  <c r="A468" i="8" s="1"/>
  <c r="B436" i="8"/>
  <c r="A436" i="8" s="1"/>
  <c r="B449" i="8"/>
  <c r="A449" i="8" s="1"/>
  <c r="B457" i="8"/>
  <c r="A457" i="8" s="1"/>
  <c r="B465" i="8"/>
  <c r="A465" i="8" s="1"/>
  <c r="B442" i="8"/>
  <c r="A442" i="8" s="1"/>
  <c r="B450" i="8"/>
  <c r="A450" i="8" s="1"/>
  <c r="B458" i="8"/>
  <c r="A458" i="8" s="1"/>
  <c r="B466" i="8"/>
  <c r="A466" i="8" s="1"/>
  <c r="B443" i="8"/>
  <c r="A443" i="8" s="1"/>
  <c r="B432" i="8"/>
  <c r="A432" i="8" s="1"/>
  <c r="B431" i="8"/>
  <c r="A431" i="8" s="1"/>
  <c r="B482" i="8" l="1"/>
  <c r="A482" i="8" s="1"/>
  <c r="B477" i="8"/>
  <c r="A477" i="8" s="1"/>
  <c r="B478" i="8"/>
  <c r="A478" i="8" s="1"/>
  <c r="B481" i="8"/>
  <c r="A481" i="8" s="1"/>
  <c r="B483" i="8"/>
  <c r="A483" i="8" s="1"/>
  <c r="B476" i="8"/>
  <c r="A476" i="8" s="1"/>
  <c r="B484" i="8"/>
  <c r="A484" i="8" s="1"/>
  <c r="B485" i="8"/>
  <c r="A485" i="8" s="1"/>
  <c r="B480" i="8"/>
  <c r="A480" i="8" s="1"/>
  <c r="B479" i="8"/>
  <c r="A479" i="8" s="1"/>
  <c r="B475" i="8"/>
  <c r="A475" i="8" s="1"/>
  <c r="B511" i="8" l="1"/>
  <c r="A511" i="8" s="1"/>
  <c r="B519" i="8"/>
  <c r="A519" i="8" s="1"/>
  <c r="B527" i="8"/>
  <c r="A527" i="8" s="1"/>
  <c r="B535" i="8"/>
  <c r="A535" i="8" s="1"/>
  <c r="B543" i="8"/>
  <c r="A543" i="8" s="1"/>
  <c r="B518" i="8"/>
  <c r="A518" i="8" s="1"/>
  <c r="B512" i="8"/>
  <c r="A512" i="8" s="1"/>
  <c r="B520" i="8"/>
  <c r="A520" i="8" s="1"/>
  <c r="B528" i="8"/>
  <c r="A528" i="8" s="1"/>
  <c r="B536" i="8"/>
  <c r="A536" i="8" s="1"/>
  <c r="B544" i="8"/>
  <c r="A544" i="8" s="1"/>
  <c r="B523" i="8"/>
  <c r="A523" i="8" s="1"/>
  <c r="B508" i="8"/>
  <c r="A508" i="8" s="1"/>
  <c r="B532" i="8"/>
  <c r="A532" i="8" s="1"/>
  <c r="B504" i="8"/>
  <c r="A504" i="8" s="1"/>
  <c r="B505" i="8"/>
  <c r="A505" i="8" s="1"/>
  <c r="B513" i="8"/>
  <c r="A513" i="8" s="1"/>
  <c r="B521" i="8"/>
  <c r="A521" i="8" s="1"/>
  <c r="B529" i="8"/>
  <c r="A529" i="8" s="1"/>
  <c r="B537" i="8"/>
  <c r="A537" i="8" s="1"/>
  <c r="B545" i="8"/>
  <c r="A545" i="8" s="1"/>
  <c r="B531" i="8"/>
  <c r="A531" i="8" s="1"/>
  <c r="B516" i="8"/>
  <c r="A516" i="8" s="1"/>
  <c r="B503" i="8"/>
  <c r="A503" i="8" s="1"/>
  <c r="B509" i="8"/>
  <c r="A509" i="8" s="1"/>
  <c r="B533" i="8"/>
  <c r="A533" i="8" s="1"/>
  <c r="B541" i="8"/>
  <c r="A541" i="8" s="1"/>
  <c r="B542" i="8"/>
  <c r="A542" i="8" s="1"/>
  <c r="B506" i="8"/>
  <c r="A506" i="8" s="1"/>
  <c r="B514" i="8"/>
  <c r="A514" i="8" s="1"/>
  <c r="B522" i="8"/>
  <c r="A522" i="8" s="1"/>
  <c r="B530" i="8"/>
  <c r="A530" i="8" s="1"/>
  <c r="B538" i="8"/>
  <c r="A538" i="8" s="1"/>
  <c r="B546" i="8"/>
  <c r="A546" i="8" s="1"/>
  <c r="B515" i="8"/>
  <c r="A515" i="8" s="1"/>
  <c r="B525" i="8"/>
  <c r="A525" i="8" s="1"/>
  <c r="B526" i="8"/>
  <c r="A526" i="8" s="1"/>
  <c r="B507" i="8"/>
  <c r="A507" i="8" s="1"/>
  <c r="B539" i="8"/>
  <c r="A539" i="8" s="1"/>
  <c r="B547" i="8"/>
  <c r="A547" i="8" s="1"/>
  <c r="B524" i="8"/>
  <c r="A524" i="8" s="1"/>
  <c r="B540" i="8"/>
  <c r="A540" i="8" s="1"/>
  <c r="B517" i="8"/>
  <c r="A517" i="8" s="1"/>
  <c r="B510" i="8"/>
  <c r="A510" i="8" s="1"/>
  <c r="B534" i="8"/>
  <c r="A534" i="8" s="1"/>
  <c r="B496" i="8"/>
  <c r="A496" i="8" s="1"/>
  <c r="B490" i="8"/>
  <c r="A490" i="8" s="1"/>
  <c r="B497" i="8"/>
  <c r="A497" i="8" s="1"/>
  <c r="B498" i="8"/>
  <c r="A498" i="8" s="1"/>
  <c r="B491" i="8"/>
  <c r="A491" i="8" s="1"/>
  <c r="B499" i="8"/>
  <c r="A499" i="8" s="1"/>
  <c r="B492" i="8"/>
  <c r="A492" i="8" s="1"/>
  <c r="B500" i="8"/>
  <c r="A500" i="8" s="1"/>
  <c r="B493" i="8"/>
  <c r="A493" i="8" s="1"/>
  <c r="B501" i="8"/>
  <c r="A501" i="8" s="1"/>
  <c r="B494" i="8"/>
  <c r="A494" i="8" s="1"/>
  <c r="B502" i="8"/>
  <c r="A502" i="8" s="1"/>
  <c r="B495" i="8"/>
  <c r="A495" i="8" s="1"/>
  <c r="B552" i="8" l="1"/>
  <c r="A552" i="8" s="1"/>
  <c r="B553" i="8"/>
  <c r="A553" i="8" s="1"/>
  <c r="B558" i="8" l="1"/>
  <c r="A558" i="8" s="1"/>
  <c r="B565" i="8"/>
  <c r="A565" i="8" s="1"/>
  <c r="B561" i="8"/>
  <c r="A561" i="8" s="1"/>
  <c r="B559" i="8"/>
  <c r="A559" i="8" s="1"/>
  <c r="B562" i="8"/>
  <c r="A562" i="8" s="1"/>
  <c r="B563" i="8"/>
  <c r="A563" i="8" s="1"/>
  <c r="B564" i="8"/>
  <c r="A564" i="8" s="1"/>
  <c r="B560" i="8"/>
  <c r="A560" i="8" s="1"/>
  <c r="B574" i="8" l="1"/>
  <c r="A574" i="8" s="1"/>
  <c r="B573" i="8"/>
  <c r="A573" i="8" s="1"/>
  <c r="B571" i="8"/>
  <c r="A571" i="8" s="1"/>
  <c r="B572" i="8"/>
  <c r="A572" i="8" s="1"/>
  <c r="B570" i="8"/>
  <c r="A570" i="8" s="1"/>
  <c r="B587" i="8" l="1"/>
  <c r="A587" i="8" s="1"/>
  <c r="B595" i="8"/>
  <c r="A595" i="8" s="1"/>
  <c r="B580" i="8"/>
  <c r="A580" i="8" s="1"/>
  <c r="B588" i="8"/>
  <c r="A588" i="8" s="1"/>
  <c r="B596" i="8"/>
  <c r="A596" i="8" s="1"/>
  <c r="B581" i="8"/>
  <c r="A581" i="8" s="1"/>
  <c r="B589" i="8"/>
  <c r="A589" i="8" s="1"/>
  <c r="B582" i="8"/>
  <c r="A582" i="8" s="1"/>
  <c r="B590" i="8"/>
  <c r="A590" i="8" s="1"/>
  <c r="B583" i="8"/>
  <c r="A583" i="8" s="1"/>
  <c r="B591" i="8"/>
  <c r="A591" i="8" s="1"/>
  <c r="B585" i="8"/>
  <c r="A585" i="8" s="1"/>
  <c r="B584" i="8"/>
  <c r="A584" i="8" s="1"/>
  <c r="B592" i="8"/>
  <c r="A592" i="8" s="1"/>
  <c r="B593" i="8"/>
  <c r="A593" i="8" s="1"/>
  <c r="B586" i="8"/>
  <c r="A586" i="8" s="1"/>
  <c r="B594" i="8"/>
  <c r="A594" i="8" s="1"/>
  <c r="B579" i="8"/>
  <c r="A579" i="8" s="1"/>
  <c r="B607" i="8" l="1"/>
  <c r="A607" i="8" s="1"/>
  <c r="B615" i="8"/>
  <c r="A615" i="8" s="1"/>
  <c r="B623" i="8"/>
  <c r="A623" i="8" s="1"/>
  <c r="B627" i="8"/>
  <c r="A627" i="8" s="1"/>
  <c r="B622" i="8"/>
  <c r="A622" i="8" s="1"/>
  <c r="B608" i="8"/>
  <c r="A608" i="8" s="1"/>
  <c r="B616" i="8"/>
  <c r="A616" i="8" s="1"/>
  <c r="B624" i="8"/>
  <c r="A624" i="8" s="1"/>
  <c r="B603" i="8"/>
  <c r="A603" i="8" s="1"/>
  <c r="B609" i="8"/>
  <c r="A609" i="8" s="1"/>
  <c r="B617" i="8"/>
  <c r="A617" i="8" s="1"/>
  <c r="B625" i="8"/>
  <c r="A625" i="8" s="1"/>
  <c r="B611" i="8"/>
  <c r="A611" i="8" s="1"/>
  <c r="B602" i="8"/>
  <c r="A602" i="8" s="1"/>
  <c r="B610" i="8"/>
  <c r="A610" i="8" s="1"/>
  <c r="B618" i="8"/>
  <c r="A618" i="8" s="1"/>
  <c r="B626" i="8"/>
  <c r="A626" i="8" s="1"/>
  <c r="B619" i="8"/>
  <c r="A619" i="8" s="1"/>
  <c r="B606" i="8"/>
  <c r="A606" i="8" s="1"/>
  <c r="B614" i="8"/>
  <c r="A614" i="8" s="1"/>
  <c r="B604" i="8"/>
  <c r="A604" i="8" s="1"/>
  <c r="B612" i="8"/>
  <c r="A612" i="8" s="1"/>
  <c r="B620" i="8"/>
  <c r="A620" i="8" s="1"/>
  <c r="B628" i="8"/>
  <c r="A628" i="8" s="1"/>
  <c r="B605" i="8"/>
  <c r="A605" i="8" s="1"/>
  <c r="B613" i="8"/>
  <c r="A613" i="8" s="1"/>
  <c r="B621" i="8"/>
  <c r="A621" i="8" s="1"/>
  <c r="B601" i="8"/>
  <c r="A601" i="8" s="1"/>
  <c r="B641" i="8" l="1"/>
  <c r="A641" i="8" s="1"/>
  <c r="B649" i="8"/>
  <c r="A649" i="8" s="1"/>
  <c r="B657" i="8"/>
  <c r="A657" i="8" s="1"/>
  <c r="B637" i="8"/>
  <c r="A637" i="8" s="1"/>
  <c r="B645" i="8"/>
  <c r="A645" i="8" s="1"/>
  <c r="B653" i="8"/>
  <c r="A653" i="8" s="1"/>
  <c r="B634" i="8"/>
  <c r="A634" i="8" s="1"/>
  <c r="B642" i="8"/>
  <c r="A642" i="8" s="1"/>
  <c r="B650" i="8"/>
  <c r="A650" i="8" s="1"/>
  <c r="B658" i="8"/>
  <c r="A658" i="8" s="1"/>
  <c r="B635" i="8"/>
  <c r="A635" i="8" s="1"/>
  <c r="B643" i="8"/>
  <c r="A643" i="8" s="1"/>
  <c r="B651" i="8"/>
  <c r="A651" i="8" s="1"/>
  <c r="B636" i="8"/>
  <c r="A636" i="8" s="1"/>
  <c r="B644" i="8"/>
  <c r="A644" i="8" s="1"/>
  <c r="B652" i="8"/>
  <c r="A652" i="8" s="1"/>
  <c r="B638" i="8"/>
  <c r="A638" i="8" s="1"/>
  <c r="B646" i="8"/>
  <c r="A646" i="8" s="1"/>
  <c r="B654" i="8"/>
  <c r="A654" i="8" s="1"/>
  <c r="B639" i="8"/>
  <c r="A639" i="8" s="1"/>
  <c r="B647" i="8"/>
  <c r="A647" i="8" s="1"/>
  <c r="B655" i="8"/>
  <c r="A655" i="8" s="1"/>
  <c r="B640" i="8"/>
  <c r="A640" i="8" s="1"/>
  <c r="B648" i="8"/>
  <c r="A648" i="8" s="1"/>
  <c r="B656" i="8"/>
  <c r="A656" i="8" s="1"/>
  <c r="B633" i="8"/>
  <c r="A633" i="8" s="1"/>
  <c r="B668" i="8" l="1"/>
  <c r="A668" i="8" s="1"/>
  <c r="B676" i="8"/>
  <c r="A676" i="8" s="1"/>
  <c r="B666" i="8"/>
  <c r="A666" i="8" s="1"/>
  <c r="B667" i="8"/>
  <c r="A667" i="8" s="1"/>
  <c r="B669" i="8"/>
  <c r="A669" i="8" s="1"/>
  <c r="B677" i="8"/>
  <c r="A677" i="8" s="1"/>
  <c r="B674" i="8"/>
  <c r="A674" i="8" s="1"/>
  <c r="B675" i="8"/>
  <c r="A675" i="8" s="1"/>
  <c r="B670" i="8"/>
  <c r="A670" i="8" s="1"/>
  <c r="B678" i="8"/>
  <c r="A678" i="8" s="1"/>
  <c r="B680" i="8"/>
  <c r="A680" i="8" s="1"/>
  <c r="B681" i="8"/>
  <c r="A681" i="8" s="1"/>
  <c r="B671" i="8"/>
  <c r="A671" i="8" s="1"/>
  <c r="B679" i="8"/>
  <c r="A679" i="8" s="1"/>
  <c r="B664" i="8"/>
  <c r="A664" i="8" s="1"/>
  <c r="B672" i="8"/>
  <c r="A672" i="8" s="1"/>
  <c r="B665" i="8"/>
  <c r="A665" i="8" s="1"/>
  <c r="B673" i="8"/>
  <c r="A673" i="8" s="1"/>
  <c r="B682" i="8"/>
  <c r="A682" i="8" s="1"/>
  <c r="B683" i="8"/>
  <c r="A683" i="8" s="1"/>
  <c r="B663" i="8"/>
  <c r="A663" i="8" s="1"/>
  <c r="B694" i="8" l="1"/>
  <c r="A694" i="8" s="1"/>
  <c r="B692" i="8"/>
  <c r="A692" i="8" s="1"/>
  <c r="B693" i="8"/>
  <c r="A693" i="8" s="1"/>
  <c r="B689" i="8"/>
  <c r="A689" i="8" s="1"/>
  <c r="B691" i="8"/>
  <c r="A691" i="8" s="1"/>
  <c r="B690" i="8"/>
  <c r="A690" i="8" s="1"/>
  <c r="B688" i="8"/>
  <c r="A688" i="8" s="1"/>
  <c r="B699" i="8" l="1"/>
  <c r="A699" i="8" s="1"/>
  <c r="B700" i="8"/>
  <c r="A700" i="8" s="1"/>
  <c r="B701" i="8"/>
  <c r="A701" i="8" s="1"/>
  <c r="A215" i="11"/>
  <c r="A199" i="11"/>
  <c r="A184" i="11"/>
  <c r="A221" i="11"/>
  <c r="A214" i="11"/>
  <c r="A206" i="11"/>
  <c r="A198" i="11"/>
  <c r="A191" i="11"/>
  <c r="A183" i="11"/>
  <c r="A216" i="11"/>
  <c r="A193" i="11"/>
  <c r="A178" i="11"/>
  <c r="A192" i="11"/>
  <c r="A213" i="11"/>
  <c r="A219" i="11"/>
  <c r="A212" i="11"/>
  <c r="A204" i="11"/>
  <c r="A196" i="11"/>
  <c r="A189" i="11"/>
  <c r="A181" i="11"/>
  <c r="A208" i="11"/>
  <c r="A185" i="11"/>
  <c r="A222" i="11"/>
  <c r="A220" i="11"/>
  <c r="A197" i="11"/>
  <c r="A225" i="11"/>
  <c r="A211" i="11"/>
  <c r="A203" i="11"/>
  <c r="A195" i="11"/>
  <c r="A188" i="11"/>
  <c r="A223" i="11"/>
  <c r="A207" i="11"/>
  <c r="A190" i="11"/>
  <c r="A218" i="11"/>
  <c r="A210" i="11"/>
  <c r="A202" i="11"/>
  <c r="A187" i="11"/>
  <c r="A180" i="11"/>
  <c r="A200" i="11"/>
  <c r="A205" i="11"/>
  <c r="A182" i="11"/>
  <c r="A224" i="11"/>
  <c r="A217" i="11"/>
  <c r="A209" i="11"/>
  <c r="A201" i="11"/>
  <c r="A194" i="11"/>
  <c r="A186" i="11"/>
  <c r="A179" i="11"/>
  <c r="A249" i="11"/>
  <c r="A241" i="11"/>
  <c r="A231" i="11"/>
  <c r="A248" i="11"/>
  <c r="A230" i="11"/>
  <c r="A254" i="11"/>
  <c r="A247" i="11"/>
  <c r="A240" i="11"/>
  <c r="A229" i="11"/>
  <c r="A253" i="11"/>
  <c r="A246" i="11"/>
  <c r="A239" i="11"/>
  <c r="A228" i="11"/>
  <c r="A245" i="11"/>
  <c r="A238" i="11"/>
  <c r="A227" i="11"/>
  <c r="A252" i="11"/>
  <c r="A244" i="11"/>
  <c r="A237" i="11"/>
  <c r="A226" i="11"/>
  <c r="A251" i="11"/>
  <c r="A243" i="11"/>
  <c r="A233" i="11"/>
  <c r="A250" i="11"/>
  <c r="A242" i="11"/>
  <c r="A232" i="11"/>
  <c r="A236" i="11"/>
  <c r="A235" i="11"/>
  <c r="A234" i="11"/>
  <c r="A177" i="11"/>
  <c r="A176" i="11"/>
  <c r="A35" i="1"/>
  <c r="B35" i="1"/>
  <c r="A86" i="1"/>
  <c r="B86" i="1"/>
  <c r="A64" i="1"/>
  <c r="B64" i="1"/>
  <c r="A75" i="1"/>
  <c r="B75" i="1"/>
  <c r="A55" i="1"/>
  <c r="B55" i="1"/>
  <c r="A62" i="1"/>
  <c r="B62" i="1"/>
  <c r="A68" i="1"/>
  <c r="B68" i="1"/>
  <c r="A67" i="1"/>
  <c r="B67" i="1"/>
  <c r="A50" i="1"/>
  <c r="B50" i="1"/>
  <c r="A77" i="1"/>
  <c r="B77" i="1"/>
  <c r="A38" i="1"/>
  <c r="B38" i="1"/>
  <c r="A81" i="1"/>
  <c r="B81" i="1"/>
  <c r="A87" i="1"/>
  <c r="B87" i="1"/>
  <c r="A73" i="1"/>
  <c r="B73" i="1"/>
  <c r="A37" i="1"/>
  <c r="B37" i="1"/>
  <c r="A80" i="1"/>
  <c r="B80" i="1"/>
  <c r="A43" i="1"/>
  <c r="B43" i="1"/>
  <c r="A83" i="1"/>
  <c r="B83" i="1"/>
  <c r="A41" i="1"/>
  <c r="B41" i="1"/>
  <c r="A44" i="1"/>
  <c r="B44" i="1"/>
  <c r="A51" i="1"/>
  <c r="B51" i="1"/>
  <c r="A45" i="1"/>
  <c r="B45" i="1"/>
  <c r="A78" i="1"/>
  <c r="B78" i="1"/>
  <c r="A52" i="1"/>
  <c r="B52" i="1"/>
  <c r="A40" i="1"/>
  <c r="B40" i="1"/>
  <c r="A61" i="1"/>
  <c r="B61" i="1"/>
  <c r="A79" i="1"/>
  <c r="B79" i="1"/>
  <c r="A84" i="1"/>
  <c r="B84" i="1"/>
  <c r="A85" i="1"/>
  <c r="B85" i="1"/>
  <c r="A36" i="1"/>
  <c r="B36" i="1"/>
  <c r="A42" i="1"/>
  <c r="B42" i="1"/>
  <c r="A66" i="1"/>
  <c r="B66" i="1"/>
  <c r="A54" i="1"/>
  <c r="B54" i="1"/>
  <c r="A47" i="1"/>
  <c r="B47" i="1"/>
  <c r="A74" i="1"/>
  <c r="B74" i="1"/>
  <c r="A33" i="1"/>
  <c r="A82" i="1"/>
  <c r="B82" i="1"/>
  <c r="A60" i="1"/>
  <c r="B13" i="1"/>
  <c r="B20" i="1"/>
  <c r="B12" i="1"/>
  <c r="B16" i="1"/>
  <c r="B21" i="1"/>
  <c r="B10" i="1"/>
  <c r="B9" i="1"/>
  <c r="B28" i="1"/>
  <c r="B18" i="1"/>
  <c r="B22" i="1"/>
  <c r="B11" i="1"/>
  <c r="B46" i="1"/>
  <c r="B14" i="1"/>
  <c r="B53" i="1"/>
  <c r="B23" i="1"/>
  <c r="B27" i="1"/>
  <c r="B17" i="1"/>
  <c r="B24" i="1"/>
  <c r="B19" i="1"/>
  <c r="B8" i="1"/>
  <c r="B25" i="1"/>
  <c r="B7" i="1"/>
  <c r="B15" i="1"/>
  <c r="B26" i="1"/>
  <c r="B63" i="1"/>
  <c r="A63" i="1"/>
  <c r="B39" i="1"/>
  <c r="A39" i="1"/>
  <c r="B48" i="1"/>
  <c r="A48" i="1"/>
  <c r="B65" i="1"/>
  <c r="A65" i="1"/>
  <c r="B34" i="1"/>
  <c r="A34" i="1"/>
  <c r="B88" i="1"/>
  <c r="A88" i="1"/>
  <c r="B49" i="1"/>
  <c r="A49" i="1"/>
  <c r="B6" i="1"/>
  <c r="B33" i="1"/>
  <c r="B60" i="1"/>
  <c r="B76" i="1"/>
  <c r="A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JOHNSTONE, Rebecca (NHS ENGLAND)</author>
  </authors>
  <commentList>
    <comment ref="A94" authorId="0" shapeId="0" xr:uid="{272E6A72-E110-403C-9199-4D85F10B1756}">
      <text>
        <r>
          <rPr>
            <b/>
            <sz val="9"/>
            <color indexed="81"/>
            <rFont val="Tahoma"/>
            <family val="2"/>
          </rPr>
          <t>JOHNSTONE, Rebecca (NHS ENGLAND):</t>
        </r>
        <r>
          <rPr>
            <sz val="9"/>
            <color indexed="81"/>
            <rFont val="Tahoma"/>
            <family val="2"/>
          </rPr>
          <t xml:space="preserve">
Dr Richardson placed this in the Neurology section</t>
        </r>
      </text>
    </comment>
  </commentList>
</comments>
</file>

<file path=xl/sharedStrings.xml><?xml version="1.0" encoding="utf-8"?>
<sst xmlns="http://schemas.openxmlformats.org/spreadsheetml/2006/main" count="11827" uniqueCount="2028">
  <si>
    <t>NHSE - South West Study Leave Course List</t>
  </si>
  <si>
    <t>August 2026 to July 2027</t>
  </si>
  <si>
    <t xml:space="preserve">Last Updated: </t>
  </si>
  <si>
    <t>Next Review:</t>
  </si>
  <si>
    <t>Overview</t>
  </si>
  <si>
    <t>The Specialty Head of School and/or education faculty will have provided NHS England SW with a list of courses suitable to attend. The list is an aid Rseident Doctors to identify the most appropriate time to attend courses during their programme.</t>
  </si>
  <si>
    <t>Courses may be accessed at certain points throughout a Resident Doctors training. If the course has been identified over multiple years, you may only attend the course once, unless specified in the notes.</t>
  </si>
  <si>
    <t>Courses are split into three categories. Each category determines the level of funding you will receive from the study leave budget.</t>
  </si>
  <si>
    <t>Category</t>
  </si>
  <si>
    <t>Rationale of category</t>
  </si>
  <si>
    <t>Key principles</t>
  </si>
  <si>
    <t>Funding</t>
  </si>
  <si>
    <t>Cavets</t>
  </si>
  <si>
    <t>Essential</t>
  </si>
  <si>
    <t>Required within the curriculum and unable to achieve competences through their training programme or regional teaching. </t>
  </si>
  <si>
    <t>•	The course or activity must represent a clear curricular requirement or essential enhancement 
•	Applicants are expected to have met core curriculum competencies for their current stage of training if applying for enhancement courses 
•	Courses approved under this category will be fully funded, subject to standard ceilings and local processes</t>
  </si>
  <si>
    <t>Fully Funded</t>
  </si>
  <si>
    <t>Course must be on the list below at the start of the academic year.</t>
  </si>
  <si>
    <t>Discretionary</t>
  </si>
  <si>
    <t>These courses should only be required at the latter stage of training.</t>
  </si>
  <si>
    <t>•	Discretionary courses will normally be supported only at later stages of training and where core curriculum competencies have already been achieved. 
•	Applications must clearly articulate the specific benefit to the resident doctor at this stage of training 
•	The course should align with the individual’s career trajectory and not duplicate prior activity 
•	Discretionary applications require approval beyond Educational Supervisor level.</t>
  </si>
  <si>
    <t>50% funded</t>
  </si>
  <si>
    <t>Courses under £1,000, which are included within the Resident Doctors’ PDP and meet the key principles but are not included on the course list, may be approved by employing Trusts, provided that an email is received from the TPD or HoS explicitly addressing the discretionary decision‑making criteria.</t>
  </si>
  <si>
    <t>Other</t>
  </si>
  <si>
    <t>Courses which have limitations put on them in regards to funding (e.g. overseas, revision courses, etc)</t>
  </si>
  <si>
    <t>Information for these courses can be found in the NHSE SW Study Leave Guidance</t>
  </si>
  <si>
    <t>Funding will be in line with the Study Leave Guidance. Overseas study leave guidance takes precedence over course catergorisation and funding.</t>
  </si>
  <si>
    <t>Please note before any funding can be applied, you must follow the correct application procedure in line with your trust and NHSE SW Study Leave Policies.
Without following the correct procedure your funding will not be approved.
For more information, please read through both policies.</t>
  </si>
  <si>
    <t>Generic</t>
  </si>
  <si>
    <t>Medicine</t>
  </si>
  <si>
    <t>Ophthalmology</t>
  </si>
  <si>
    <t>Primary Care</t>
  </si>
  <si>
    <t>Acute Internal Medicine</t>
  </si>
  <si>
    <t>Cardiology</t>
  </si>
  <si>
    <t>Clinical Genetics</t>
  </si>
  <si>
    <t>Anaesthetics</t>
  </si>
  <si>
    <t>Clinical Neurophysiology</t>
  </si>
  <si>
    <t>Paediatrics</t>
  </si>
  <si>
    <t>Psychiatry</t>
  </si>
  <si>
    <t>Clinical Oncology</t>
  </si>
  <si>
    <t>Community Child Health</t>
  </si>
  <si>
    <t>Child &amp; Adolescent Psychiatry</t>
  </si>
  <si>
    <t>Dermatology</t>
  </si>
  <si>
    <t>Community and Neuro-Disability</t>
  </si>
  <si>
    <t>Core Psychiatry Training</t>
  </si>
  <si>
    <t>Endocrinology &amp; Diabetes Mellitus</t>
  </si>
  <si>
    <t>Neonatal Medicine</t>
  </si>
  <si>
    <t>Forensic Psychiatry</t>
  </si>
  <si>
    <t>Intensive Care Medicine</t>
  </si>
  <si>
    <t>Gastroenterology</t>
  </si>
  <si>
    <t>Paediatric Adolescents</t>
  </si>
  <si>
    <t>General Adult Psychiatry</t>
  </si>
  <si>
    <t>Genito-Urinary Medicine</t>
  </si>
  <si>
    <t>Paediatric Allergy, Immunology and Infectious Diseases</t>
  </si>
  <si>
    <t>Medical Psychotherapy</t>
  </si>
  <si>
    <t>Geriatric Medicine</t>
  </si>
  <si>
    <t>Old Age Psychiatry</t>
  </si>
  <si>
    <t>GIM</t>
  </si>
  <si>
    <t>Paediatric Cardiology</t>
  </si>
  <si>
    <t>Psychiatry of Learning Disability</t>
  </si>
  <si>
    <t>Haematology</t>
  </si>
  <si>
    <t>Paediatric Clinical Pharmacology &amp; Therapeutics</t>
  </si>
  <si>
    <t>ACLI (Allergy clinical and laboratory Immunology)</t>
  </si>
  <si>
    <t>ACCS</t>
  </si>
  <si>
    <t>Paediatric Diabetes &amp; Endocrinology</t>
  </si>
  <si>
    <t>Immunology &amp; Allergy</t>
  </si>
  <si>
    <t>Paediatric Emergency Medicine</t>
  </si>
  <si>
    <t>Paediatric Epilepsy</t>
  </si>
  <si>
    <t>Infectious Diseases</t>
  </si>
  <si>
    <t>Paediatric Gastro-Enterology</t>
  </si>
  <si>
    <t>ACCS - Anaesthesia</t>
  </si>
  <si>
    <t>Paediatric Intensive Care Medicine</t>
  </si>
  <si>
    <t>ACCS - Acute Medicine</t>
  </si>
  <si>
    <t>Internal Medicine Training Stage 1</t>
  </si>
  <si>
    <t>Paediatric Neurodisability</t>
  </si>
  <si>
    <t>Internal Medicine Training Stage 2</t>
  </si>
  <si>
    <t>Paediatric Neurology</t>
  </si>
  <si>
    <t>Radiology</t>
  </si>
  <si>
    <t>Medical Oncology</t>
  </si>
  <si>
    <t>Paediatric Renal</t>
  </si>
  <si>
    <t>Clinical Radiology</t>
  </si>
  <si>
    <t>Medical Ophthalmology</t>
  </si>
  <si>
    <t>Paediatric Respiratory Medicine</t>
  </si>
  <si>
    <t>Neurology</t>
  </si>
  <si>
    <t>Paediatric Rheumatology</t>
  </si>
  <si>
    <t>Occupational Medicine</t>
  </si>
  <si>
    <t>Surgery</t>
  </si>
  <si>
    <t>Palliative Medicine</t>
  </si>
  <si>
    <t>Pathology</t>
  </si>
  <si>
    <t>Cardiothoracic Surgery</t>
  </si>
  <si>
    <t>Rehabilitation Medicine</t>
  </si>
  <si>
    <t>Chemical Pathology</t>
  </si>
  <si>
    <t>Core Surgical Training</t>
  </si>
  <si>
    <t>Renal Medicine</t>
  </si>
  <si>
    <t>General Surgery</t>
  </si>
  <si>
    <t>Emergency Medicine</t>
  </si>
  <si>
    <t>Respiratory Medicine</t>
  </si>
  <si>
    <t>Neurosurgery</t>
  </si>
  <si>
    <t>Rheumatology</t>
  </si>
  <si>
    <t>Histopathology</t>
  </si>
  <si>
    <t xml:space="preserve">Oral &amp; Maxillofacial Surgery </t>
  </si>
  <si>
    <t>Sport &amp; Exercise Medicine</t>
  </si>
  <si>
    <t>Immunology</t>
  </si>
  <si>
    <t>Otolaryngology (ENT)</t>
  </si>
  <si>
    <t>Stroke Medicine</t>
  </si>
  <si>
    <t>Paediatric Surgery</t>
  </si>
  <si>
    <t>Plastic Surgery</t>
  </si>
  <si>
    <t>Obstetrics and Gynaecology</t>
  </si>
  <si>
    <t>Medical Virology</t>
  </si>
  <si>
    <t>Trauma &amp; Orthopaedics</t>
  </si>
  <si>
    <t>Foundation</t>
  </si>
  <si>
    <t xml:space="preserve">Gynaecological Oncology </t>
  </si>
  <si>
    <t>Neuropathology</t>
  </si>
  <si>
    <t>Urology</t>
  </si>
  <si>
    <t>Obstetrics &amp; Gynaecology</t>
  </si>
  <si>
    <t>Paediatric &amp; Perinatal Pathology</t>
  </si>
  <si>
    <t>Vascular Surgery</t>
  </si>
  <si>
    <t>Generic Course Categories</t>
  </si>
  <si>
    <t>These courses can be applicable to most, if not all schools/specialty/programmes.</t>
  </si>
  <si>
    <t>The Resident Doctor must ensure that these courses meet their training needs and follow any additional requirements in line with the NHSE SW study leave guidance.</t>
  </si>
  <si>
    <t>Course Number</t>
  </si>
  <si>
    <t>Count</t>
  </si>
  <si>
    <t>Specialty / Programme</t>
  </si>
  <si>
    <t>Event/Course Title</t>
  </si>
  <si>
    <t>All</t>
  </si>
  <si>
    <t>Comments</t>
  </si>
  <si>
    <t>Deanery run courses</t>
  </si>
  <si>
    <t>x</t>
  </si>
  <si>
    <t>You can book onto Deanery run courses using our Maxcourse Booking System. These courses are free to attend and are normally held online.
Want to find out about the full suite of courses on offer, go the  Faculty Development and Learner Support Page on your Deanery website and download the catalogue at the bottom of the page.</t>
  </si>
  <si>
    <t>Leadership and Management courses</t>
  </si>
  <si>
    <t>Please read the Leadership and Management section within the study leave guidance.</t>
  </si>
  <si>
    <t>Life Support Courses - ALS (Refresher)</t>
  </si>
  <si>
    <t>Please read the Life Support section within the study leave guidance.</t>
  </si>
  <si>
    <t>Life Support Courses - ALS or equivalent</t>
  </si>
  <si>
    <t>Advanced Life Support Courses - APLS, ATLS, EPALS</t>
  </si>
  <si>
    <t xml:space="preserve">Please check your specialty for specific guidance. If your specialty does not have these courses, please read/refer to the Life Support section within the study leave guidance. </t>
  </si>
  <si>
    <t>Overseas Courses</t>
  </si>
  <si>
    <t>Please read the overseas sections within the study leave guidance for more information.</t>
  </si>
  <si>
    <t>Postgraduate Courses</t>
  </si>
  <si>
    <t>Please read the Postgraduate and Higher Courses section within the study leave guidance.</t>
  </si>
  <si>
    <t>Regional Teaching Days not on ADP</t>
  </si>
  <si>
    <t>To claim reimbursement, please use the Funding Reequest Code provided which has been provided to the school.</t>
  </si>
  <si>
    <t>Regional Teaching Days on ADP</t>
  </si>
  <si>
    <t>To claim reimbursement, please use the ADP Code provided within the Regional Teaching Section of the Guidance for that event</t>
  </si>
  <si>
    <t>Revision Courses including PACES</t>
  </si>
  <si>
    <t>Please read the Exam Preparation/Revision Courses (Including Question Banks) section within the study leave guidance.</t>
  </si>
  <si>
    <t>Step Up Courses</t>
  </si>
  <si>
    <t>Please read the Step-up Courses section within the study Leave guidance.</t>
  </si>
  <si>
    <t>Train the Trainer Courses and Teaching Courses</t>
  </si>
  <si>
    <t>Please read the Train the Trainer Courses and Teaching Courses section within the study leave guidance.</t>
  </si>
  <si>
    <t>Presenting own work as first author at UK conference</t>
  </si>
  <si>
    <t>This will be reimbursed at 100% conference fee irrespective of whether the conference is on the school course list</t>
  </si>
  <si>
    <t>The principles, application process and funding allowance within the study leave guidance takes precedence over any categorisation of any named course on the course list.
Courses costing over £1000 and overseas courses must be approved by NHSE. Please see the study leave guidance for more information 
Postgraduate qualifications (Postgraduate Certificates, Diplomas, Masters and PHD courses) are not eligible for reimbursement</t>
  </si>
  <si>
    <t>Anaesthesia/ICM</t>
  </si>
  <si>
    <t>CT1</t>
  </si>
  <si>
    <t>CT2</t>
  </si>
  <si>
    <t>CT3</t>
  </si>
  <si>
    <t>ST1</t>
  </si>
  <si>
    <t>ST2</t>
  </si>
  <si>
    <t>ST3</t>
  </si>
  <si>
    <t>ST4</t>
  </si>
  <si>
    <t>ST5</t>
  </si>
  <si>
    <t>ST6</t>
  </si>
  <si>
    <t>ST7</t>
  </si>
  <si>
    <t>ST8</t>
  </si>
  <si>
    <t>ANA001.E</t>
  </si>
  <si>
    <t>Any Instructor course (eg ALS- Advanced Life Support, ATLS- Advanced Trauma Life Support, APLS- Advanced Paediatric Life Support)</t>
  </si>
  <si>
    <t>Please read the Train the Train Courses and Teaching Courses section within the study leave guidance.</t>
  </si>
  <si>
    <t>ANA002.D</t>
  </si>
  <si>
    <t>BARREL (Bristol Anaesthesia Refresher in research, Education and  Learning)  Study day</t>
  </si>
  <si>
    <t>ANA003.E</t>
  </si>
  <si>
    <t>Bristol Perioperative Study day</t>
  </si>
  <si>
    <t>ANA004.D</t>
  </si>
  <si>
    <t>Bristol thoracotomy course</t>
  </si>
  <si>
    <t>Essential for SIA trauma and resuscitation/ICM/PHEM residents. Discretionary for ST4+</t>
  </si>
  <si>
    <t>ANA005.D</t>
  </si>
  <si>
    <t>Cardiac Advanced Life Support</t>
  </si>
  <si>
    <t>ANA006.D</t>
  </si>
  <si>
    <t xml:space="preserve">Edinburgh Clinical Research Methodology </t>
  </si>
  <si>
    <t>ANA007.D</t>
  </si>
  <si>
    <t>Focused Intensive Care Echocardiography and other echo based courses. Required for ICM trainees, enhanced knowledge for anaesthetic trainees</t>
  </si>
  <si>
    <t>Once only. Should be Essential if taken as Special Study Module, otherwise Discretionary.  Required for ICM trainees, enhanced knowledge for anaesthetic trainees</t>
  </si>
  <si>
    <t>ANA008.E</t>
  </si>
  <si>
    <t>ICM tracheostomy care course (NBT)</t>
  </si>
  <si>
    <t>ANA009.D</t>
  </si>
  <si>
    <t>National Trainee focussed Conferences eg Association of Anaesthetists Resident Doctors Conference</t>
  </si>
  <si>
    <t>Essential if presenting</t>
  </si>
  <si>
    <t>ANA010.D</t>
  </si>
  <si>
    <t>Neuroanaesthesia and Critical Care Society Conference (NACCS) or Webinar Study Day</t>
  </si>
  <si>
    <t>ANA011.E</t>
  </si>
  <si>
    <t>POCUS (Point of Care Ultrasound)or similar point of care Course eg GUAVA</t>
  </si>
  <si>
    <t>ANA012.D</t>
  </si>
  <si>
    <t>Prehospital Emergency Care Conference</t>
  </si>
  <si>
    <t>Essential if PHEM training, otherwise Discretionary</t>
  </si>
  <si>
    <t>ANA013.D</t>
  </si>
  <si>
    <t>Prehospital Emergency Care Course</t>
  </si>
  <si>
    <t>Essential if PHEM training</t>
  </si>
  <si>
    <t>ANA014.E</t>
  </si>
  <si>
    <t>Research methodology elearning course, Royal College of Surgeons of England</t>
  </si>
  <si>
    <t>Online only</t>
  </si>
  <si>
    <t>ANA015.E</t>
  </si>
  <si>
    <t>The National Deceased Donation Course for ICM Trainees</t>
  </si>
  <si>
    <t>Essential for ICM single or dual residents.</t>
  </si>
  <si>
    <t>ANA016.E</t>
  </si>
  <si>
    <t>Transfer Training Course</t>
  </si>
  <si>
    <t>ANA017.D</t>
  </si>
  <si>
    <t>CoMMA - Cotswold and Mendip Maternity Anaesthetists meeting</t>
  </si>
  <si>
    <t>Essential if doing Obstetric SIA</t>
  </si>
  <si>
    <t>ANA018.D</t>
  </si>
  <si>
    <t xml:space="preserve">TOE (Transoesophagheal Echo) Course </t>
  </si>
  <si>
    <t>Essential If doing Anaesthesia SIA  Cardiac  or ICM training</t>
  </si>
  <si>
    <t>ANA019.D</t>
  </si>
  <si>
    <t>Advanced ECHO courses</t>
  </si>
  <si>
    <t>Essentail If doing Anaesthesia SIA  Cardiac  or ICM training</t>
  </si>
  <si>
    <t>ANA020.D</t>
  </si>
  <si>
    <t>POAG (Peninsula Obstetric Anaesthetists Group)</t>
  </si>
  <si>
    <t>ANA021.E</t>
  </si>
  <si>
    <t>ATLS (Advanced Trauma Life Support) BASICS (Basic Assessment and Support in ICU), APLS (Advanced Paediatric Life Support),</t>
  </si>
  <si>
    <t>Recertification may be desirable for HST to demonstrate ongoing curricula competences, however, demonstration of these should not necessarily need a course to prove capabilities.  Recertification courses are not funded through study leave. please refer to guidance on the website</t>
  </si>
  <si>
    <t>ANA022.E</t>
  </si>
  <si>
    <t>BASICS (Basic Assessment and Support in ICU)</t>
  </si>
  <si>
    <t>ANA023.E</t>
  </si>
  <si>
    <t xml:space="preserve">Airway Management Course </t>
  </si>
  <si>
    <t>Once at core, intermediate and higher &amp; if doing SIA complex airway.</t>
  </si>
  <si>
    <t>Anaesthesia</t>
  </si>
  <si>
    <t xml:space="preserve">Advanced Simulation-Based Obstetrics </t>
  </si>
  <si>
    <t>Essential if SIA Obstetrics</t>
  </si>
  <si>
    <t>ALS- Advanced Life Support  Course, inclduing Paediatric verison/BLS</t>
  </si>
  <si>
    <t>ASPIH (Association for Simulated Practice in Healthcare) National Simulation conference</t>
  </si>
  <si>
    <t>Association of Anaesthetists SAFE (Safer Anaesthesia From Education) Paediatrics GB&amp;I </t>
  </si>
  <si>
    <t xml:space="preserve">For those in ST2 and 3 with paeds experience already. </t>
  </si>
  <si>
    <t>Bristol Intensive Final viva course</t>
  </si>
  <si>
    <t>BTS (British Transplantation Society)  Annual Meeting</t>
  </si>
  <si>
    <t>Essential if presenting.</t>
  </si>
  <si>
    <t>European Trauma Course</t>
  </si>
  <si>
    <t>Essential if doing SIA Trauma and Stabilisation, otherwise, Discretionary. Refresher courses are not supported</t>
  </si>
  <si>
    <t xml:space="preserve">Medical Emergencies in Paediatric Anaesthesia </t>
  </si>
  <si>
    <t>MOET (Managing Medical and Obstetric Emergencies and Trauma)Course</t>
  </si>
  <si>
    <t>National meetings- e.g. AoA (Association of Anaesthetists), APA (Association of Paediatric Anaethetists), RCOA (Royal College of Anaesthetists), POAG (Peninsula Obstetric Anaesthetists Group), BADS (British Assocation of Day Surgery), OAA (Obstetric Anaesthetists' Association) and many others</t>
  </si>
  <si>
    <t>Funded according to deanery guidance. Usually only funded post-fellowship unless presenting at meeting.</t>
  </si>
  <si>
    <t>Essential if in Special Interest Area in Higher training as documented in RDs PDP</t>
  </si>
  <si>
    <t>Pain Management Course</t>
  </si>
  <si>
    <t>Essential if doing Pain SIA</t>
  </si>
  <si>
    <t>Peri-operative medicine/CPET (Cardiopulmonary Exercise Testing) course</t>
  </si>
  <si>
    <t>ANA041.D</t>
  </si>
  <si>
    <t>PLANT/TNT (Plymouth Anaesthetic Trauma/Trauma Non-Technical) trauma/MIMMS (Major Incident Medical Management)  course</t>
  </si>
  <si>
    <t>Essential if SIA or advanced training in trauma, otherwise Discretionary</t>
  </si>
  <si>
    <t>PROMPT (Practical Obstetric Multi-Professional Training) and similar obsteric courses</t>
  </si>
  <si>
    <t>SASWR (Society of Anaesthetists of the SW region) Spring and Autumn meeting</t>
  </si>
  <si>
    <t xml:space="preserve">Simulation Training </t>
  </si>
  <si>
    <t>In region, if outside region - need TPD/HoS approvaL</t>
  </si>
  <si>
    <t>SOWRA (SW Regional Anaestheia Group) Regional Anaesthesia course</t>
  </si>
  <si>
    <t>local course</t>
  </si>
  <si>
    <t>SWARM (SW Anaesthetic Research Matrix)research meeting</t>
  </si>
  <si>
    <t>SWITCrit (SW Intensive Transfer course) and other local simulation transfer courses</t>
  </si>
  <si>
    <t>ANA048.D</t>
  </si>
  <si>
    <t xml:space="preserve">Thoracic Anaesthesia Course </t>
  </si>
  <si>
    <t>Essential if SIA  Thoracics, otherwise Discretionary</t>
  </si>
  <si>
    <t>If doing Higher/SIA  Cardiac</t>
  </si>
  <si>
    <t>vasc sim course</t>
  </si>
  <si>
    <t>Core Anaesthesia Training</t>
  </si>
  <si>
    <t>ALS Course</t>
  </si>
  <si>
    <t>Advanced Paediatric Life Support (APLS) Course</t>
  </si>
  <si>
    <t>ATLS (Advanced Trauma Life Support Course) Course</t>
  </si>
  <si>
    <t>Refresher courses not supported</t>
  </si>
  <si>
    <t xml:space="preserve">IMPACT (Ill Medical Patients Acute Care and Treatment) </t>
  </si>
  <si>
    <t>Intro to Obs/Novice Obstetrics Course</t>
  </si>
  <si>
    <t>Novice plus course (NBT)</t>
  </si>
  <si>
    <t>RCoA  (Royal College of Anaesthetists) Primary FRCA(Fellow of the Royal College of Anaestheists) Masterclass- if local courses done/or exam failure</t>
  </si>
  <si>
    <t>Simulation Course</t>
  </si>
  <si>
    <t>ALS (Advanced Life Support) Course</t>
  </si>
  <si>
    <t>APEM (Association of Paediatric Emergency Medicine) Conference</t>
  </si>
  <si>
    <t>APLS (Advanced Paediatric Life Support) Course</t>
  </si>
  <si>
    <t>ATLS (Advanced Trauma Life Support) Course</t>
  </si>
  <si>
    <t>Breaking bad news course</t>
  </si>
  <si>
    <t>Bronchoscopy Course (eg BRIC (Brochoscopy for Intensive Care) , BRaC (Bronchoscopy for Acute Care)</t>
  </si>
  <si>
    <t>Critical Care Reviews</t>
  </si>
  <si>
    <t>ESICM (European Society of Intensive Care Medicine)</t>
  </si>
  <si>
    <t>FICM (Faculty of Intensive Care Medicine) Striking the Balance</t>
  </si>
  <si>
    <t>ISICEM (International Symposium on Intensive Care Medicine)</t>
  </si>
  <si>
    <t>SICOWE (Society of Intensive Care of the West of England)</t>
  </si>
  <si>
    <t xml:space="preserve">Simulation Course </t>
  </si>
  <si>
    <t>In Region, if outside region- need TPD/HoS approval.</t>
  </si>
  <si>
    <t>SOA (State of the Art) Conference</t>
  </si>
  <si>
    <t>SODIT (Society of Deon Intensive Therapists) and other local ICM-based meeting</t>
  </si>
  <si>
    <t>Courses related to Special Skills Year</t>
  </si>
  <si>
    <t>Essential if doing the Special Skills Year</t>
  </si>
  <si>
    <t>Acute Care Common Stem (ACCS)</t>
  </si>
  <si>
    <t>Advanced Trauma Life Support (ATLS)</t>
  </si>
  <si>
    <t>Advanced Paediatric Life Support (APLS)</t>
  </si>
  <si>
    <t>Simulation and Human Factors Course 2</t>
  </si>
  <si>
    <t>Severn courses only</t>
  </si>
  <si>
    <t>Severn Sedation Course</t>
  </si>
  <si>
    <t>ACCS Programme Specific</t>
  </si>
  <si>
    <t>Acute Medicine - Society for Acute Medicine  (SAM) Conference</t>
  </si>
  <si>
    <t>Accurate Illness Management (AIM) courses listed for CT1/2s</t>
  </si>
  <si>
    <t>Please see AIM section for CT2/CT2 courses in Acute Medicine section</t>
  </si>
  <si>
    <t>Anaesthesia - Focused Acute Medicine Ultrasound/Focused Ultrasound in Intensive Care (FAMUS/FUSIC) Course</t>
  </si>
  <si>
    <t>ACCS - Anaesthetic</t>
  </si>
  <si>
    <t>Anaesthetics courses listed for CT1/2s</t>
  </si>
  <si>
    <t>Please see Anaesthetics section for CT1/CT2 courses</t>
  </si>
  <si>
    <t>ACCS - Emergency Medicine</t>
  </si>
  <si>
    <t>Emergency Medicine courses listed ST1/2s</t>
  </si>
  <si>
    <t>Please see Emergency Medicine section for ST1/ST2 courses</t>
  </si>
  <si>
    <t>Community, Sexual &amp; Reproductive Health</t>
  </si>
  <si>
    <t>CSRH</t>
  </si>
  <si>
    <t>CSRH001.E</t>
  </si>
  <si>
    <t>Community Sexual &amp; Rep. Health</t>
  </si>
  <si>
    <t>British Association for Sexual Health and HIV (BASHH) Annual Science Meeting</t>
  </si>
  <si>
    <t>CSRH002.E</t>
  </si>
  <si>
    <t xml:space="preserve">British Association for Sexual Health and HIV (BASHH) Conference </t>
  </si>
  <si>
    <t>CSRH003.E</t>
  </si>
  <si>
    <t xml:space="preserve">British Association for Sexual Health and HIV (BASHH) STI/HIV Course (modules 1-4) </t>
  </si>
  <si>
    <t>CSRH004.E</t>
  </si>
  <si>
    <t xml:space="preserve">Basic Practical Skills in Obstetrics &amp; Gynaecology </t>
  </si>
  <si>
    <t>CSRH005.E</t>
  </si>
  <si>
    <t xml:space="preserve">Forensic (Sexual Assault) Medical Examiners course </t>
  </si>
  <si>
    <t>CSRH006.E</t>
  </si>
  <si>
    <r>
      <rPr>
        <sz val="11"/>
        <color rgb="FF000000"/>
        <rFont val="Aptos Narrow"/>
      </rPr>
      <t>College of Sexual and Reproductive Health (CoSRH)</t>
    </r>
    <r>
      <rPr>
        <strike/>
        <sz val="11"/>
        <color rgb="FF000000"/>
        <rFont val="Aptos Narrow"/>
      </rPr>
      <t xml:space="preserve"> </t>
    </r>
    <r>
      <rPr>
        <sz val="11"/>
        <color rgb="FF000000"/>
        <rFont val="Aptos Narrow"/>
      </rPr>
      <t>Current Choices and Annual Scientific meetings</t>
    </r>
  </si>
  <si>
    <t>CSRH007.E</t>
  </si>
  <si>
    <t xml:space="preserve">HR skills and recruitment training </t>
  </si>
  <si>
    <t xml:space="preserve">On current curriculum </t>
  </si>
  <si>
    <t>CSRH008.E</t>
  </si>
  <si>
    <t>Menopause Theory Course</t>
  </si>
  <si>
    <t>CSRH009.E</t>
  </si>
  <si>
    <t>Psychosexual Medicine courses eg IPM (Institute of Psychosexual Medicine)</t>
  </si>
  <si>
    <t>CSRH010.E</t>
  </si>
  <si>
    <t>Public Health Course</t>
  </si>
  <si>
    <t>CSRH011.E</t>
  </si>
  <si>
    <t>Regional and National CSRH Trainees meetings (or related speciality equivalent e.g. GUM, O&amp;G, GP, Public Health)</t>
  </si>
  <si>
    <t>CSRH has crossover in the curriculum into other specialties such as GUM, O&amp;G and public health - the curriculum therefore supports them attending trainees meetings in these specialties</t>
  </si>
  <si>
    <t>CSRH012.E</t>
  </si>
  <si>
    <t xml:space="preserve">Research Methodology/Critical Appraisal Course </t>
  </si>
  <si>
    <t>CSRH013.E</t>
  </si>
  <si>
    <t>The British Association for Sexual Health and HIV (BASHH) STI Foundation Courses (or equivalent)</t>
  </si>
  <si>
    <t>CSRH014.E</t>
  </si>
  <si>
    <t xml:space="preserve">Ultrasound Scanning (USS) Skills Course </t>
  </si>
  <si>
    <t>CSRH015.E</t>
  </si>
  <si>
    <t>Simulator training (where relevant/available e.g. MVA/hysteroscopy/scan)</t>
  </si>
  <si>
    <t>CSRH016.E</t>
  </si>
  <si>
    <t xml:space="preserve">Courses, meetings, webinars, and events relating to Abortion Care Abortion care course or meeting e.g. British Society of abortion care providers Conference </t>
  </si>
  <si>
    <t>CSRH017.D</t>
  </si>
  <si>
    <t>Paediatric and Adolescent Gynaecology courses</t>
  </si>
  <si>
    <t>CSRH018.E</t>
  </si>
  <si>
    <t>College SRH registered trainer courses</t>
  </si>
  <si>
    <t>CSRH019.E</t>
  </si>
  <si>
    <t>CSRH Trainee Annual Conference</t>
  </si>
  <si>
    <t>CSRH020.E</t>
  </si>
  <si>
    <t>Sparrow and Eagles ‘Preparation for Consultant’ course</t>
  </si>
  <si>
    <t>CSRH021.D</t>
  </si>
  <si>
    <t>Association of Early Pregnancy Units Conference (or equivalent)</t>
  </si>
  <si>
    <t>CSRH022.E</t>
  </si>
  <si>
    <t>Genital dermatology course,  British Association for Sexual Health and HIV (BASHH) or equivalent)</t>
  </si>
  <si>
    <t>CSRH023.E</t>
  </si>
  <si>
    <t>British Menopause Society (BMS) Conference (or equivalent)</t>
  </si>
  <si>
    <t>CSRH024.E</t>
  </si>
  <si>
    <t>Cervical screening takers courses</t>
  </si>
  <si>
    <t>ACCS - Emergency Medicine Pathway</t>
  </si>
  <si>
    <t>ACCS Simulation Course e.g. Skills training</t>
  </si>
  <si>
    <t>Simulation courses covering curriculum items, in particular SLO6, may need to be accessed. Regional Training must be accessed first, however these courses are infrequently run and may not be available due to a Resident Doctor working shifts. In this instance, the Resident Doctor may access an external course.</t>
  </si>
  <si>
    <t>ATLS= Advance Trauma Life Support</t>
  </si>
  <si>
    <t>These skills are required within the curriculum</t>
  </si>
  <si>
    <t>APLS= Advanced Paediatric Life Support, EPALS= European Paediatric Advanced Life Support</t>
  </si>
  <si>
    <t>These skills are required within the curriculum, either course is appropriate not both.</t>
  </si>
  <si>
    <t>ITU and Transfers e.g. Transfer of the critically ill</t>
  </si>
  <si>
    <t>Airway Course (e.g. Training in Emergency Airway Management Course (TEAM))</t>
  </si>
  <si>
    <t>Emergency Medicine Trainees Association(EMTA) Annual Trainee Conference or Royal College of Emergency Medicine (RCEM) Annual Conference</t>
  </si>
  <si>
    <t xml:space="preserve">Appropriate to attend the EMTA conference or the RCEM conference once in core training (ST1-3) and once in HST </t>
  </si>
  <si>
    <t>Emergency Ultrasound Level 1</t>
  </si>
  <si>
    <t>Advanced Trauma Life Support Instructor Course</t>
  </si>
  <si>
    <t>Essentual curriculum item. Please read the Train the Trainer Courses and Teaching Courses section within the study leave guidance.</t>
  </si>
  <si>
    <t>Paediatric Emergencies course (e.g. Confidence in Paediatric Emergencies)</t>
  </si>
  <si>
    <t>Remote/ Hostile Environments/Wilderness Medicine course</t>
  </si>
  <si>
    <t>Safeguarding Children Level 1, 2 &amp; 3</t>
  </si>
  <si>
    <t>Level 2 is mandatory by end CT/ST2 and Level 3 by end CT/ST3. These are curriculum requirements. If service requirement Trust should fund.</t>
  </si>
  <si>
    <t>RCEM CPD study days</t>
  </si>
  <si>
    <t>CPD study days hosted by RCEM specific to trainees stage of training as approved by ES/TPD/HoS</t>
  </si>
  <si>
    <t>Safeguarding Adult Level 3</t>
  </si>
  <si>
    <t>ST3 Simulation Courses</t>
  </si>
  <si>
    <t>Advanced Life Support (1 or 2 day)</t>
  </si>
  <si>
    <t>Generic Instructor Course</t>
  </si>
  <si>
    <t>ASIST= Applied Suicide Intervention Skills Training</t>
  </si>
  <si>
    <t>BASIC= British Association for Intermediate Care  Pre-hospital care conference</t>
  </si>
  <si>
    <t xml:space="preserve">Appropriate to attend if looking to further knowledge of interface between pre-hospital care and emergency medicine. Significant overlap in content and many speakers are EM consultants. Content also includes managing major incidents. </t>
  </si>
  <si>
    <t>EM Decision Making course</t>
  </si>
  <si>
    <t>Key skills in SLO8</t>
  </si>
  <si>
    <t xml:space="preserve">EM Key Procedural Skills course </t>
  </si>
  <si>
    <t>This course is appropriate to work towards those difficult to obtain SLO6 high risk, low frequency competencies.</t>
  </si>
  <si>
    <t>EM Transition to ST4 course</t>
  </si>
  <si>
    <t>Emergency Focused Echo (e.g. FEEL= Focussed Echo in Emergency Life Support, FICE= Focussed Intensive Care Echo)</t>
  </si>
  <si>
    <t>Emergency Medicine: Airway Course (e.g. TEAM= Training in Emergency Airway Management)</t>
  </si>
  <si>
    <t>To complete once during training</t>
  </si>
  <si>
    <t>Emergency Medicine Trainees Association(EMTA) Annual Trainee Conference</t>
  </si>
  <si>
    <t>Attending this course would be most applicable during core training but if not completed in core should be undertaken in HST</t>
  </si>
  <si>
    <t>RCEM Conference</t>
  </si>
  <si>
    <t xml:space="preserve">Appropriate to attend the EMTA conference or the RCEM conference once in core training (ST1-3) and once in HST. </t>
  </si>
  <si>
    <t xml:space="preserve">Emergency thoracotomy course </t>
  </si>
  <si>
    <t xml:space="preserve"> Ideally trainees should attend regional procedures days, and one additional (external, as none delivered by deanery) cadaveric course to provide adequate training for HALO procedures. In exceptional circumstances where a trainee has been unable to attend regional courses over their HST period, they may attend an non-cadaveric external course.</t>
  </si>
  <si>
    <t>Emergency Ultrasound Core Skills</t>
  </si>
  <si>
    <t>EPEC= Education in Palliative and End of Life Care</t>
  </si>
  <si>
    <t>European Trauma Course (ETC)</t>
  </si>
  <si>
    <t>ETC is an appropriate higher level trauma course once a trainee has already completed ATLS. This is attended in the UK</t>
  </si>
  <si>
    <t>Faculty Pre-hospital Care Conference</t>
  </si>
  <si>
    <t>General: mMOET= managing Medical Obstetric Emergencies and Trauma course</t>
  </si>
  <si>
    <t xml:space="preserve">Hospital Major Incident Medical Management and Support (HMIMMS) course </t>
  </si>
  <si>
    <t xml:space="preserve">It would be appropriate for a trainee to do either MIMMS or HMIMMS but not both. </t>
  </si>
  <si>
    <t>Hyperacute stroke management course (e.g. thrombolysis, thrombectomy)</t>
  </si>
  <si>
    <t>Major Incident Medical Management and Support (MIMMS) course</t>
  </si>
  <si>
    <t>Procedural Sedation Simulation Course</t>
  </si>
  <si>
    <t xml:space="preserve">CPD study days hosted by RCEM specific to trainees stage of training as approved by ES/TPD/HoS
</t>
  </si>
  <si>
    <t>Safeguarding Level 3</t>
  </si>
  <si>
    <t>Certification normally lasts 3 year so may need to do the course twice, or more if LTFT</t>
  </si>
  <si>
    <t>ST3 Simulation Course</t>
  </si>
  <si>
    <t>Trauma Care Conference</t>
  </si>
  <si>
    <t>Trauma Simulation Course (usually delivered by trauma networks)</t>
  </si>
  <si>
    <t xml:space="preserve"> Acute Psychiatric and Psychosocial Emergencies (APEx) Course</t>
  </si>
  <si>
    <t xml:space="preserve">Reasonable to attend once during HST. </t>
  </si>
  <si>
    <t>Paediatric Emergency Medicine (PEM) National Conference</t>
  </si>
  <si>
    <t>Paediatric Emergency Medicine (PEM) Training Days For PEM Subspecialty Trainees Only (Not ST3)</t>
  </si>
  <si>
    <t>NEPTUNE (National Emergency Paediatric Trauma Update and Networking)</t>
  </si>
  <si>
    <t>Paediatric Resuscitation Course</t>
  </si>
  <si>
    <t>Paediatric Trauma Course</t>
  </si>
  <si>
    <t>Children and Young People: Acute Psychiatric and Psychosocial Emergencies (CYP APEx)</t>
  </si>
  <si>
    <t>Pre-Hospital Emergency Medicine</t>
  </si>
  <si>
    <t xml:space="preserve">Induction Course </t>
  </si>
  <si>
    <t>PHEM courses are all specific to those attaining a PHEM qualification</t>
  </si>
  <si>
    <t>National PHEM Induction Course</t>
  </si>
  <si>
    <t>National PHEM Phase 2 Course</t>
  </si>
  <si>
    <t>Obstetric &amp; Neonatal Training Day</t>
  </si>
  <si>
    <t>PHEM Training Days For PHEM Subspecialty Trainees Only</t>
  </si>
  <si>
    <t>West Midlands Emergency Surgical Skills Course</t>
  </si>
  <si>
    <t>FY1</t>
  </si>
  <si>
    <t>FY2</t>
  </si>
  <si>
    <t>ASCERT course (Acute Systematic Clinical Emergency Response and Treatment)</t>
  </si>
  <si>
    <t>Life Support Courses (e.g. Advanced Trauma Life Support, Advanced Paediatric Life Support)</t>
  </si>
  <si>
    <t>Approved in accordance with foundation school study leave policy.</t>
  </si>
  <si>
    <t>Basic Surgical Skills</t>
  </si>
  <si>
    <t>Must have FPD approval in accordance with criteria set out in Foundation school study leave policy</t>
  </si>
  <si>
    <t>Basic Ultrasound course relevant to general medical skills</t>
  </si>
  <si>
    <t>Must have FPD approval in accordance with criteria set out in Foundation school study leave policy.</t>
  </si>
  <si>
    <t>Bristol patient safety conference -foundation</t>
  </si>
  <si>
    <t>F1s must have approval from Head of school in order to borrow SL from F2 year. Approval must be in line with foundation school study leave policy (see specific taster guidance).</t>
  </si>
  <si>
    <t>Foundation psychiatry fellow contact days: max 5 days per year (taster leave in F1) Includes annual psychiatry conference. FELLOWS ONLY</t>
  </si>
  <si>
    <t>Formally appointed foundation psychiatry fellows only. F1s to use up to 5 days taster days allocation for this activity.</t>
  </si>
  <si>
    <t>Foundation taster experience - various specialties</t>
  </si>
  <si>
    <t>Foundation: Mandatory Foundation Acute Simulation Training</t>
  </si>
  <si>
    <t>National Foundation presentation day</t>
  </si>
  <si>
    <t>F1s must have approval from Head of school in order to borrow SL from F2 year. Approval must be in line with foundation school study leave policy.</t>
  </si>
  <si>
    <t>NLS (Neonatal Life Support)</t>
  </si>
  <si>
    <t xml:space="preserve">For paeds RDs </t>
  </si>
  <si>
    <t>O &amp; G  (Obstetrics and Gynaecology) Basic skills course</t>
  </si>
  <si>
    <t>Peninsula Radiology Academy Open Day</t>
  </si>
  <si>
    <t>Specialty conference attendance to present a paper / poster</t>
  </si>
  <si>
    <t>Xray and radiology skills for junior doctors</t>
  </si>
  <si>
    <t>Revive &amp; Thrive’ - personal and professional development course. Endeavour Medical</t>
  </si>
  <si>
    <t>Gynaecological Oncology</t>
  </si>
  <si>
    <t xml:space="preserve">Anastomosis course </t>
  </si>
  <si>
    <t>Only relevant to Subspeciality training in Gynaeoncology</t>
  </si>
  <si>
    <t>Care of the Critically Ill Surgical Patient (cCrISP)</t>
  </si>
  <si>
    <t xml:space="preserve">Gestational trophoblastic course </t>
  </si>
  <si>
    <t>Scientific Meeting (e.g. British Gynaecological Cancer Soceity)</t>
  </si>
  <si>
    <t>Abortion Care Advanced Training course or Special Interest Training Module (SITM) Course</t>
  </si>
  <si>
    <t xml:space="preserve">Every ST5/6/7 needs to complete at least  two Special Interest Training Modules (SITM) these will be funded at Essential, any additional modules will be funded as Discretionary. </t>
  </si>
  <si>
    <t xml:space="preserve">Annual Scientific Update In Urogynaecology British Society of Urogynaecology (BSUG) </t>
  </si>
  <si>
    <t>Association Of Early Pregnancy Assessment Unit Annual Conference Advanced Training Skills Module (ATSM) or Special Interest Training Module (SITM) or professional development</t>
  </si>
  <si>
    <t>Basic Laparoscopy &amp; Hysteroscopy Course – local courses provided</t>
  </si>
  <si>
    <t>Basic Practical Skills in Obestetrics &amp; Gynaecology</t>
  </si>
  <si>
    <t xml:space="preserve">Necessary for progression </t>
  </si>
  <si>
    <t>Basic Ultrasound</t>
  </si>
  <si>
    <t xml:space="preserve">Necessary for progression to ST3 </t>
  </si>
  <si>
    <t xml:space="preserve">British Fertility Society Annual Conference </t>
  </si>
  <si>
    <t xml:space="preserve">Every ST5/6/7 needs to complete at least  two Special Interest Training Modules (SITM) these will be funded at Essential, any additional modules will be funded as Discretionary.  It is also essential for subspecialty trainees in reproductive medicine </t>
  </si>
  <si>
    <t>British Gynaecological Cancer Society Annual meeting</t>
  </si>
  <si>
    <t xml:space="preserve">Every ST5/6/7 needs to complete at least  two Special Interest Training Modules (SITM) these will be funded at Essential, any additional modules will be funded as Discretionary. It is also essential for subspecialty trainees in Gynaecological oncology  </t>
  </si>
  <si>
    <t xml:space="preserve">Obstetrics and Gynaecology </t>
  </si>
  <si>
    <t xml:space="preserve">British Intrapartum Care Society Conference </t>
  </si>
  <si>
    <t xml:space="preserve">This is the conference for intrapartum care essential for all residents ST3 and above </t>
  </si>
  <si>
    <t xml:space="preserve">British Maternal and Fetal Medicine Society (BMFMS) Conference </t>
  </si>
  <si>
    <t>British Society for Gynaecological Endoscopy Society (BGSE)  annual Scientific meeting (ASM)</t>
  </si>
  <si>
    <t xml:space="preserve">British Society of Vulval Diseases/Vulval Disorders Study Day Advanced Training Skills Module (ATSM) or Special Interest Training Module (SITM) or professional developmentor enhanced knowledge </t>
  </si>
  <si>
    <t>Cadaveric Dissection/Anatomy Course For Gynae Oncologists Essential for SubSopeciality Trainees s in GynaeOncology</t>
  </si>
  <si>
    <t xml:space="preserve">Cervical Cerclage / Preterm Birth </t>
  </si>
  <si>
    <t>Chronic Pelvic Pain Management Course</t>
  </si>
  <si>
    <t>Contraception and sexual health Training Course</t>
  </si>
  <si>
    <t>for those undertaking exam</t>
  </si>
  <si>
    <t xml:space="preserve">CTG Training </t>
  </si>
  <si>
    <t xml:space="preserve">Annual Requirement </t>
  </si>
  <si>
    <t>Diagnostic &amp; Operative Hysteroscopy</t>
  </si>
  <si>
    <t>Domestic Violence/Victim Support</t>
  </si>
  <si>
    <t>Early Pregnancy &amp; Emergency Gynaecology Advanced Training Skills Module (ATSM) or Special Interest Training Module (SITM)  Course</t>
  </si>
  <si>
    <t>Early Pregnancy &amp; Gynaecological Ultrasound</t>
  </si>
  <si>
    <t>Fetal medicine and High Risk Pregnancy Advanced Training Skills Module (ATSM) or Special Interest Training Module (SITM)  enhanced Knowledge</t>
  </si>
  <si>
    <t>Forensic Gynaecology Course Advanced Training Skills Module (ATSM) or Special Interest Training Module (SITM)  or enhanced knowledge course (Also known as Rape/Sexual Assault Course)</t>
  </si>
  <si>
    <t>Epidemiology &amp; Medical Statistics Course</t>
  </si>
  <si>
    <t xml:space="preserve">This is not necessary for the curriculum so  discretionary for most but maybe essential for someone undertaking the Advanced professional Module (APM) research </t>
  </si>
  <si>
    <t>Mock Inquest</t>
  </si>
  <si>
    <t xml:space="preserve">Usually provided as an RTD and necessary for the curriculum </t>
  </si>
  <si>
    <t>Institute of Psychosexual Medicine Annual Scientific Meeting</t>
  </si>
  <si>
    <t>Institute of PsychoSexual Medicine Summer Term</t>
  </si>
  <si>
    <t>Intermediate Ultrasound (USS) Gynaecology</t>
  </si>
  <si>
    <t>Intermediate Ultrasound (USS) Obstetrics</t>
  </si>
  <si>
    <t xml:space="preserve">Intrapartum Fetal Surveillance Course - can be ABC (avoiding Brain Injury in Children) and Intrapartum fetal Monitoring </t>
  </si>
  <si>
    <t xml:space="preserve">Macdonald Obstetric Medicine Society  Meeting </t>
  </si>
  <si>
    <t>Management Of Endometriosis</t>
  </si>
  <si>
    <t>Management Of Menstrual Disorders</t>
  </si>
  <si>
    <t>Management Of Multiple Pregnancy</t>
  </si>
  <si>
    <t>Management Of Sub-Fertility</t>
  </si>
  <si>
    <t>Management Of Thrombo-Embolism In Obstetrics</t>
  </si>
  <si>
    <t xml:space="preserve">Managing Medical Obstetrics and Trauma (MOET) course </t>
  </si>
  <si>
    <t>Manual Vacuum Aspiration Training Course</t>
  </si>
  <si>
    <t>Maternal Critical Care</t>
  </si>
  <si>
    <t>Maternal Medicine (also called Obstetric Medicine)</t>
  </si>
  <si>
    <t>Menopause Advanced Training Skills Module (ATSM) or Special Interest Training Module (SITM)  or enhanced knowledge (also called post-reproductive Health and PostMenopausal Health)</t>
  </si>
  <si>
    <t>National Trainees Conference</t>
  </si>
  <si>
    <t>Obstetric Simulation Training (eg ALSO/PROMPT): can be in-house</t>
  </si>
  <si>
    <t>Annual Requirement. See study leave guidance for Life Support Courses for funding allocation.</t>
  </si>
  <si>
    <t>Obstetrics &amp; Gynaecology: Benign Abdominal Surgery Advanced Training Skills Module (ATSM) or Special Interest Training Module (SITM)  Course</t>
  </si>
  <si>
    <t>Paediatric &amp; Adolescent Gynaecology Course Advanced Training Skills Module (ATSM) or Special Interest Training Module (SITM)  or enhanced knowledge</t>
  </si>
  <si>
    <t>Perinatal Mental Health Course</t>
  </si>
  <si>
    <t>Perineal Repair Including 3rd &amp; 4th Degree Tears</t>
  </si>
  <si>
    <t xml:space="preserve">Necessary for progression  </t>
  </si>
  <si>
    <t>Psycho-Sexual Counselling</t>
  </si>
  <si>
    <t>Regional Fetal Medicine Meeting</t>
  </si>
  <si>
    <t>Regional Maternal Medicine Meeting</t>
  </si>
  <si>
    <t>Regional Preterm Birth Meeting</t>
  </si>
  <si>
    <t xml:space="preserve">Risk Management and Medicolegal Issues in women's health care </t>
  </si>
  <si>
    <t>RoBUST (RCOG Operative Birth Simulation Training) Course</t>
  </si>
  <si>
    <t>Royal College of Obstetricians and Gynaecologists (RCOG) Congress</t>
  </si>
  <si>
    <t>Screening For Down’s Syndrome</t>
  </si>
  <si>
    <t xml:space="preserve">STEP UP Resilience Course </t>
  </si>
  <si>
    <t xml:space="preserve">Necessary for progression to ST3 - usually provided by Peninsula Deanery </t>
  </si>
  <si>
    <t>Subfertility &amp; Reproductive Endocrinology &amp; Assisted Conception Theory</t>
  </si>
  <si>
    <t>Surgical Masterclass In Urogynaecology</t>
  </si>
  <si>
    <t>Total Laparoscopic Hysterectomy Masterclass</t>
  </si>
  <si>
    <t>Urodynamics Course ATSM (Advanced training specialist module) or SITM (Special Interest Training Module) or enhanced knowledge</t>
  </si>
  <si>
    <t>World Congress For Gynaecological Endocrinology</t>
  </si>
  <si>
    <t xml:space="preserve">Infections in Pregnancy </t>
  </si>
  <si>
    <t xml:space="preserve">Laproscopy - Advanced and Intermediate - can also include specific courses on laparoscopic suturing </t>
  </si>
  <si>
    <t>Acute ( or acute and General Medicine ) updates – Society of Acute Medicine or Royal College of Physicians</t>
  </si>
  <si>
    <t>Acute ( or Acute and General Medicine) conferences – Society of Acute Medicine or RCP</t>
  </si>
  <si>
    <t>British Society Rheumatology Annual conference</t>
  </si>
  <si>
    <t xml:space="preserve">Focused Acute Medicine Ultrasound (FAMUS) including Logbook / Point of care ultrasound course / Focused Ultrasound in Intensive Care (FUSIC) course </t>
  </si>
  <si>
    <t>Requirement for CCT in new curriculum. Needs to attend 1 of these courses.</t>
  </si>
  <si>
    <t>Focused Intensive Care Echocardiography (FICE) course</t>
  </si>
  <si>
    <t>May be a requirement of training depending upon selected specialist skill</t>
  </si>
  <si>
    <t>Society for Acute Medicine Conference</t>
  </si>
  <si>
    <t>ACI (Allergy and Clinical Immunology)</t>
  </si>
  <si>
    <t>Association of Clinical Pathologists / British Society for Immunology (ACP / BSI) hitchhikers training days</t>
  </si>
  <si>
    <t>4 x 2 day meetings per year</t>
  </si>
  <si>
    <t>Allergy Academy Food Allergy &amp; The Gut</t>
  </si>
  <si>
    <t>Allergy Academy Practical Immunotherapy Workshop</t>
  </si>
  <si>
    <t>Allergy Academy Training Day - Drugs</t>
  </si>
  <si>
    <t>Allergy Academy Training Day - Food</t>
  </si>
  <si>
    <t>Annual Allergy Research Foundation Study Day</t>
  </si>
  <si>
    <t>Basic &amp; Clinical Allergy</t>
  </si>
  <si>
    <t>British Society for Allergy &amp; Clinical Immunology (BSACI) meeting</t>
  </si>
  <si>
    <t>British Society for Allergy &amp; Clinical Immunology (BSACI) training days</t>
  </si>
  <si>
    <t>4 per year</t>
  </si>
  <si>
    <t>European Academy of Allergy and Clinical Immunology (EAACI) meeting</t>
  </si>
  <si>
    <t>Adult Congenital Heart Disease Core Curriculum Course</t>
  </si>
  <si>
    <t>Leeds or Birmingham, if not covered by locally provided course / training days.</t>
  </si>
  <si>
    <t>Advance Course On 3D Echocardiography</t>
  </si>
  <si>
    <t>Advanced Coronary Imaging Course (e.g. Practical IVUS &amp; OCT)</t>
  </si>
  <si>
    <t xml:space="preserve">Association of Inherited Cardiac Conditions (AICC) Annual Meeting </t>
  </si>
  <si>
    <t>Anatomy For Electrophysiologists</t>
  </si>
  <si>
    <t xml:space="preserve">British Cardiovascular Intervention Society (BCIS) Study Day: Interventional Pharmacology </t>
  </si>
  <si>
    <t xml:space="preserve">British Cardiovascular Intervention Society (BCIS) Study Day: Out of Hospital Cardiac Arrest </t>
  </si>
  <si>
    <t>British Cardiovascular Society (BCS) Adult Congenital Heart Disease (ACHD) Core Curriculum Course</t>
  </si>
  <si>
    <t>British Cardiovascular Society (BCS) Year in Cardiology course</t>
  </si>
  <si>
    <t>British Junior Cardiologists' Association (BJCA) Headstart In Cardiology - ST3 Introduction Course</t>
  </si>
  <si>
    <t xml:space="preserve"> British Nuclear Cardiology Society (BNCS) </t>
  </si>
  <si>
    <t>British Society of Cardiovascular Imaging / British Society of Cardiovascular CT (BSCI / BSCCT) Hands-On Level 1 &amp; Level 2 Cardiac CT Course or equivalent</t>
  </si>
  <si>
    <t>British Society of Echocardiography / the Irish Cardiac Imaging and Echocardiography Group (BSE/ICE) Conference</t>
  </si>
  <si>
    <t xml:space="preserve">Cardiology in British Sport Symposium </t>
  </si>
  <si>
    <t>Cardiology-Specific Simulation Course</t>
  </si>
  <si>
    <t xml:space="preserve">Cardiology-Specific Simulation Course </t>
  </si>
  <si>
    <t>Cardiovascular Magnetic Resonance</t>
  </si>
  <si>
    <t>Central Cardiology Training Day</t>
  </si>
  <si>
    <t>Clinical Workshop On Cardiac MR Stress Imaging</t>
  </si>
  <si>
    <t>Cardiovascular Magnetic Resonance (CMR) Course</t>
  </si>
  <si>
    <t xml:space="preserve">Complex Angioplasty Course (e.g. CHIP UK) </t>
  </si>
  <si>
    <t xml:space="preserve">Chronic total occlusion (CTO) Course (e.g. CTO live) </t>
  </si>
  <si>
    <t xml:space="preserve">EANM European Association of Nuclear Medicine Congress </t>
  </si>
  <si>
    <t>Application through overseas process ensuring eligibility which will need NHSE approval. All access pass is not eligible for study leave reimbursement.</t>
  </si>
  <si>
    <t>Essential Surgical Skills For Cardiologists</t>
  </si>
  <si>
    <t xml:space="preserve">EuroEcho &amp; Imaging  </t>
  </si>
  <si>
    <t>EuroPCR</t>
  </si>
  <si>
    <t>Foundation Echocardiography Course - BSE or equivalent</t>
  </si>
  <si>
    <t xml:space="preserve">Hands-On Cardiac Morphology </t>
  </si>
  <si>
    <t xml:space="preserve">Hands-On Cardiac Pacing Course </t>
  </si>
  <si>
    <t>Heart Disease In Pregnancy (equivalent of 1 day course per year)</t>
  </si>
  <si>
    <t>If no locally provided course or specific pregnancy / pre-pregnancy clinics.</t>
  </si>
  <si>
    <t>Heart Rhythm Annual Congress</t>
  </si>
  <si>
    <t xml:space="preserve">ICNC - Nuclear Cardiology &amp; Cardiac CT </t>
  </si>
  <si>
    <t>Implantable Device Courses (Industry &amp; Institution)</t>
  </si>
  <si>
    <t>Ionising Radiation (Medical Exposure) Regulations (IRMER) Certificate</t>
  </si>
  <si>
    <t xml:space="preserve">Freely available on e-Learning for Healthcare platform.  </t>
  </si>
  <si>
    <t>Regulations IRMER Certificate Course - or online equivalent</t>
  </si>
  <si>
    <t>Freely available on e-Learning for Healthcare platform.</t>
  </si>
  <si>
    <t>Royal Society of Medicine (RSM)  Adult Congenital Heart Disease (ACHD) Training Days</t>
  </si>
  <si>
    <t>Society for Cardiovascular Magnetic Resonance (SCMR)</t>
  </si>
  <si>
    <t xml:space="preserve">Transcatheter Cardiovascular Therapeutics (TCT) </t>
  </si>
  <si>
    <t>UCLH European Transoesophageal Echo for ACHD Course</t>
  </si>
  <si>
    <t>Application through overseas process ensuring eligibility which will need NHSE approval for course. If in the UK, Discretionary</t>
  </si>
  <si>
    <t>Wessex International Cardiology Training Day</t>
  </si>
  <si>
    <t>Bioinformatics for Clinical Geneticists</t>
  </si>
  <si>
    <t>Cancer Genetics Group</t>
  </si>
  <si>
    <t>Clinical Genetics Society</t>
  </si>
  <si>
    <t>Collagen Study Day</t>
  </si>
  <si>
    <t>Dysmorphology Club at GOS</t>
  </si>
  <si>
    <t>Eye Genetics Group Meeting</t>
  </si>
  <si>
    <t>Fundamentals of Clinical Genomics</t>
  </si>
  <si>
    <t>GeneEthics Club</t>
  </si>
  <si>
    <t>International Conference on Animal Genetics (ICAG)</t>
  </si>
  <si>
    <t>International Cardiovascular Genomic Medicine Conference</t>
  </si>
  <si>
    <t>Manchester and Southampton Cancer Course</t>
  </si>
  <si>
    <t>Manchester Dysmorphology Course</t>
  </si>
  <si>
    <t>Manchester metabolic medicine</t>
  </si>
  <si>
    <t xml:space="preserve">Neurogenetics club meeting </t>
  </si>
  <si>
    <t>Prenatal Course</t>
  </si>
  <si>
    <t>Rasopathy study day</t>
  </si>
  <si>
    <t>Skeletal Dysplasia Group</t>
  </si>
  <si>
    <t>Skeletal Dysplasia Instructional Course</t>
  </si>
  <si>
    <t>Teaching Genetics to Healthcare Professionals</t>
  </si>
  <si>
    <t>The British Society for Genetic Medicine: BSGM courses</t>
  </si>
  <si>
    <t xml:space="preserve">Variant Interpretation course </t>
  </si>
  <si>
    <t>Manchester counselling course</t>
  </si>
  <si>
    <t>Advanced evoked potential courses (eg: neuromonitoring &amp; brain mapping course)</t>
  </si>
  <si>
    <t>Association of Trainees in Clinical Neurophysiology (ATCN) training days. National curriculum delivery.</t>
  </si>
  <si>
    <t>British Society of Clinical Neurophysiology (BSCN) Wadham Triennial Neurophysiology Course</t>
  </si>
  <si>
    <t>EEG/epilepsy course (eg: UK ILAE EEG and seizure semiology course)</t>
  </si>
  <si>
    <t>EMG/neuromuscular course (eg: paediatric EMG congress, King’s neuromuscular disease symposium)</t>
  </si>
  <si>
    <t>Visual evoked potentials/visual neurophysiology course (eg: Moorfields/UCL clinical electrophysiology of vision course)</t>
  </si>
  <si>
    <t>Acute Oncology and Cancer Unknown Primary Care</t>
  </si>
  <si>
    <t>Advanced communication skills course</t>
  </si>
  <si>
    <t>Annual Trainee Oncology Meeting (ATOM) - two attendances during five years training</t>
  </si>
  <si>
    <t>Attendance at a national cancer conference</t>
  </si>
  <si>
    <t>International conferences may be considered, following the overseas section of the NHSE SW Study Leave guidance.</t>
  </si>
  <si>
    <t>Brachytherapy course, conference or meeting</t>
  </si>
  <si>
    <t>Brain and Spine Cancer course, conference or meeting</t>
  </si>
  <si>
    <t>Breast Cancer course, conference or meeting</t>
  </si>
  <si>
    <t>Cancer at different ages (TYA, geriatric etc) course, conference or meeting</t>
  </si>
  <si>
    <t>Genitourinary Cancer course or meeting e.g. British Urology Group (BUG)</t>
  </si>
  <si>
    <t xml:space="preserve">Good Clinical Practice (GCP) </t>
  </si>
  <si>
    <t>Required once every 3 years</t>
  </si>
  <si>
    <t>Gynaecological Cancer / brachytherapy course e.g. Royal College of Radiologists Bristol Gynaecology Oncology Course</t>
  </si>
  <si>
    <t>Head and Neck Cancer course, conference or meeting</t>
  </si>
  <si>
    <t>Hepatobiliary cancer course, conference or meeting</t>
  </si>
  <si>
    <t>Image/surface guided radiotherapy (SBRT) course, conference or meeting</t>
  </si>
  <si>
    <t>Immunotherapy courses</t>
  </si>
  <si>
    <t>Late effects and cancer rehabilitation course, conference or meeting</t>
  </si>
  <si>
    <t>Lower Gastrointestinal Cancer course, conference or meeting</t>
  </si>
  <si>
    <t>Lung Cancer course, conference or meeting</t>
  </si>
  <si>
    <t>Lymphoma and other haematological cancers course, conference or meeting</t>
  </si>
  <si>
    <t>Melanoma course, conference or meeting</t>
  </si>
  <si>
    <t>Molecular therapy course, conference or meeting</t>
  </si>
  <si>
    <t>Non-melanoma skin cancer course (e.g. Norwich course)</t>
  </si>
  <si>
    <t>Paediatric Cancer course, conference or meeting</t>
  </si>
  <si>
    <t>Note trainees in Peninsula  will need to attend a course/ Bristol for  training in this area</t>
  </si>
  <si>
    <t>Palliative Care course, conference or meeting</t>
  </si>
  <si>
    <t>Palliative radiotherapy course (e.g. Bristol)</t>
  </si>
  <si>
    <t>Proton therapy course (e.g. Manchester)</t>
  </si>
  <si>
    <t xml:space="preserve">Radiation Biology Module </t>
  </si>
  <si>
    <t>Radiobiology and Physics Module (two modules)</t>
  </si>
  <si>
    <t>Radiology anatomy course, conference or meeting</t>
  </si>
  <si>
    <t>Currently this is provided in Severn by the radiology teaching for radiology trainees.  If this is not available then courses elsewhere will be required.</t>
  </si>
  <si>
    <t>Research Methods &amp; Statistics Module</t>
  </si>
  <si>
    <t>Royal College of Radiologists 'Management skills for Oncologists'</t>
  </si>
  <si>
    <t>Safe chemotherapy prescribing course (eg Exeter)</t>
  </si>
  <si>
    <t>Sarcoma course, conference or meeting</t>
  </si>
  <si>
    <t>Stereotactic Radiosurgery (SRS) / Stereostatic Radiotherapy (SABR) / Advanced radiotherapy techniques conference / course</t>
  </si>
  <si>
    <t>Systemic AntiCancer Therapy Module (two)</t>
  </si>
  <si>
    <t>Translational Research Course</t>
  </si>
  <si>
    <t>Upper GastrointestinaI Cancer course, conference or meeting</t>
  </si>
  <si>
    <t>A Basic Course of Dermatopathology</t>
  </si>
  <si>
    <t>X</t>
  </si>
  <si>
    <t>Allergy and the Skin Course</t>
  </si>
  <si>
    <t>Annual Paediatric Dermatology Course</t>
  </si>
  <si>
    <t>Better Evaluation of Evidence and Statistics Course</t>
  </si>
  <si>
    <t>Biology of the Skin Course</t>
  </si>
  <si>
    <t>British Association for Sexual Health &amp; Human Immunodeficiency Virus Genital Dermatology PLUS Course</t>
  </si>
  <si>
    <t>British Association of Dermatologists Annual Meeting</t>
  </si>
  <si>
    <t>British Association of Dermatologists Specialty Trainee Training Event</t>
  </si>
  <si>
    <t>British Association of Dermatologists Trainee Pre-Conference Session</t>
  </si>
  <si>
    <t>British Cosmetic Dermatology Group Annual Course</t>
  </si>
  <si>
    <t>British Hair &amp; Nail Society Registrar Hair and Nail Training Day</t>
  </si>
  <si>
    <t>British Society for Dermatological Surgery Annual Surgery Workshop</t>
  </si>
  <si>
    <t>British Society for Investigative Dermatology-British Association of Dermatology Dermatology Research Techniques Course</t>
  </si>
  <si>
    <t>British Society for Paediatric &amp; Adolescent Dermatology Annual Meeting</t>
  </si>
  <si>
    <t>British Society for the Study of Vulval Disease Vulval Disease Essentials for Everyone</t>
  </si>
  <si>
    <t>Dermatology Specialty Certificate Examination Course</t>
  </si>
  <si>
    <t>Dermatopathology for Dermatologists</t>
  </si>
  <si>
    <t>Dermoscopy Course</t>
  </si>
  <si>
    <t>DermPath Made Easy</t>
  </si>
  <si>
    <t>Dowling Club Business and Interview Skills Training</t>
  </si>
  <si>
    <t>Essential Medical Dermatology</t>
  </si>
  <si>
    <t>Genomics for Dermatology</t>
  </si>
  <si>
    <t>Genomics in Dermatology</t>
  </si>
  <si>
    <t>Hair and Nail Dermatology Course</t>
  </si>
  <si>
    <t>Integrating Genomics into Clinical dermatology</t>
  </si>
  <si>
    <t>Laser Dermatology Clinic</t>
  </si>
  <si>
    <t>Laser Dermatology Course</t>
  </si>
  <si>
    <t>Medical Statistics Course</t>
  </si>
  <si>
    <t>Medicolegal Dermatology Training</t>
  </si>
  <si>
    <t>Oral and Anogenital Dermatology Course</t>
  </si>
  <si>
    <t>Oral Medicine Clinic</t>
  </si>
  <si>
    <t>Paediatric Dermatology Course</t>
  </si>
  <si>
    <t>Photobiology Course</t>
  </si>
  <si>
    <t>Photodermatology Clinic</t>
  </si>
  <si>
    <t>Photodermatology Course</t>
  </si>
  <si>
    <t>Pregnancy Dermatology Clinic</t>
  </si>
  <si>
    <t>Primary Care Dermatology Society/Dermoscopy United Kingdom Advanced Dermoscopy</t>
  </si>
  <si>
    <t>Primary Care Placement</t>
  </si>
  <si>
    <t>Psychodermatology Course</t>
  </si>
  <si>
    <t>Skin of Colour Training United Kingdom Skin of Colour Course</t>
  </si>
  <si>
    <t>The New Dermatologist Course</t>
  </si>
  <si>
    <t>The Teledermatology Training Day</t>
  </si>
  <si>
    <t>University College London Critical Appraisal Course</t>
  </si>
  <si>
    <t>Virtual Paediatric Dermatology Course</t>
  </si>
  <si>
    <t>Association of British Clinical Diabetologists (ABCD) Courses</t>
  </si>
  <si>
    <t>ALS</t>
  </si>
  <si>
    <t>American Diabetes Association Conference</t>
  </si>
  <si>
    <t>BERTIE/DAFNE Training</t>
  </si>
  <si>
    <t>British Thyroid Association Trainee Educational Meeting</t>
  </si>
  <si>
    <t>Diabetes UK Professional Conference</t>
  </si>
  <si>
    <t>Endocrine Society Endo Conference</t>
  </si>
  <si>
    <t>Endocrinology National cases</t>
  </si>
  <si>
    <t>European Association for the Study of Diabetes (EASD) Conference</t>
  </si>
  <si>
    <t>Oveseas application applies unless in the UK, then Discretionary</t>
  </si>
  <si>
    <t>European Society of Endocrinology (ESE) Conference</t>
  </si>
  <si>
    <t>European Young Endocrinologists and Scientists (EYES) Conference</t>
  </si>
  <si>
    <t>Imperial College Pituitary Masterclass</t>
  </si>
  <si>
    <t>Kings College Or Bournemouth Insulin Pump Courses</t>
  </si>
  <si>
    <t>only need to go once during rotation</t>
  </si>
  <si>
    <t>Monogenic Diabetes Training Course</t>
  </si>
  <si>
    <t>NET Course</t>
  </si>
  <si>
    <t>Oxford Endocrinology Master Class</t>
  </si>
  <si>
    <t>QI Course</t>
  </si>
  <si>
    <t>Radio-Iodine Course For Thyroid</t>
  </si>
  <si>
    <t>Reproductive Endocrinology course; Society for Endocrinology</t>
  </si>
  <si>
    <t>Retinopathy Course</t>
  </si>
  <si>
    <t>Society for Endocrinology Annual Conference (British Endocrine Society - BES)</t>
  </si>
  <si>
    <t>South West Diabetes Symposium</t>
  </si>
  <si>
    <t>South West Endocrinology Symposium</t>
  </si>
  <si>
    <t>Young Diabetologists &amp; Endocrinologists (YDEF) diabetes technology course</t>
  </si>
  <si>
    <t>Young Diabetologists &amp; Endocrinologists (YDEF) Obesity course</t>
  </si>
  <si>
    <t>Young Diabetologists &amp; Endocrinologists (YDEF) Community Diabetes Course</t>
  </si>
  <si>
    <t>Young Diabetologists &amp; Endocrinologists (YDEF) Diabetes Retinopathy Course</t>
  </si>
  <si>
    <t>Young Diabetologists &amp; Endocrinologists (YDEF) Finishing School- management course</t>
  </si>
  <si>
    <t>Young Diabetologists &amp; Endocrinologists (YDEF) Insulin Pump Course</t>
  </si>
  <si>
    <t>Young Diabetologists &amp; Endocrinologists (YDEF) Short Course</t>
  </si>
  <si>
    <t>Advanced Gastroenterology &amp; Hepatology Course</t>
  </si>
  <si>
    <t>Basic Skills in GI endoscopic ultrasound (EUS) (Course code JAG_UDP3)</t>
  </si>
  <si>
    <t>Require training in EUS to be part of PDP in ES report</t>
  </si>
  <si>
    <t>Basic Upper GI Endoscopy</t>
  </si>
  <si>
    <t>British Association For The Study Of The Liver Annual Meeting</t>
  </si>
  <si>
    <t>Should be category 1 for those on hepatology pathway</t>
  </si>
  <si>
    <t>British Society of Gastroenterology Annual Conference</t>
  </si>
  <si>
    <t>Capsule endoscopy beginners and advanced (Course code JAG_GDM2)</t>
  </si>
  <si>
    <t>Criteria for capsule courses and certification of courses given by JAG. Trainees must be independent at diagnostic and therapeutic upper GI endoscopy and diagnostic colonoscopy. Trainees must have appropriate supporting letter from Educational supervisor.</t>
  </si>
  <si>
    <t>Digestive Disease Week (DDW)/United European Gastroenterology Week (UEGW)</t>
  </si>
  <si>
    <t xml:space="preserve">European Association For The Study of The Liver </t>
  </si>
  <si>
    <t>Oveseas application applies unless in the UK, then Discretionary. Should be category 1 for those on hepatology pathway</t>
  </si>
  <si>
    <t>GIM External Course</t>
  </si>
  <si>
    <t>Hepatology : An evidence based approach</t>
  </si>
  <si>
    <t>Intercollegiate Course on Human Nutrition</t>
  </si>
  <si>
    <t>Intermediate Therapeutic Endoscopy Course</t>
  </si>
  <si>
    <t xml:space="preserve"> Joint Advisory Group (JAG) Advanced skills in colonoscopy &amp; polypectomy</t>
  </si>
  <si>
    <t xml:space="preserve"> Joint Advisory Group (JAG) Advanced skills In Therapeutic Endoscopy</t>
  </si>
  <si>
    <t xml:space="preserve"> Joint Advisory Group (JAG) Basic Skills in Colonoscopy</t>
  </si>
  <si>
    <t xml:space="preserve"> Joint Advisory Group (JAG) Basic Skills in ERCP (ERCP trainees only)</t>
  </si>
  <si>
    <t xml:space="preserve"> Joint Advisory Group (JAG) Basic Skills Upper Gastrointestinal (GI) Endoscopy</t>
  </si>
  <si>
    <t xml:space="preserve"> Joint Advisory Group (JAG) Basic Skills Upper GI Endoscopy</t>
  </si>
  <si>
    <t xml:space="preserve"> Joint Advisory Group (JAG) GI Bleeding Course (Therapeutic Endoscopy)</t>
  </si>
  <si>
    <t>Royal Free Sheila Sherlock Postgraduate Hepatology Course</t>
  </si>
  <si>
    <t>The Leeds Course in Clinical Nutrition or The Newcastle Clinical Nutrition Course</t>
  </si>
  <si>
    <t>Attendance supported at either the Newcastle or Leeds course, not both</t>
  </si>
  <si>
    <t>Training The Colonoscopy Trainers (TCT)</t>
  </si>
  <si>
    <t>Trent Hepatology Research Meeting</t>
  </si>
  <si>
    <t>Adult Sexual Assault Examination and Aftercare (2 days)</t>
  </si>
  <si>
    <t>British Association for Sexual Health &amp; HIV (BASHH) Microscopy Course</t>
  </si>
  <si>
    <t>British Association for Sexual Health &amp; HIV (BASHH) Psychosexual Course</t>
  </si>
  <si>
    <t>British Association for Sexual Health &amp; HIV (BASHH) STI/HIV Course</t>
  </si>
  <si>
    <t>HIV Inpatient Experience</t>
  </si>
  <si>
    <t>HIV In-Patient Training</t>
  </si>
  <si>
    <t>Adult Sexual Assault Examination &amp; Aftercare</t>
  </si>
  <si>
    <t>2 days.</t>
  </si>
  <si>
    <t>British Association for Sexual Health &amp; HIV (BASHH) Bacterial Special Interest Group (BSIG) Microscopy Course</t>
  </si>
  <si>
    <t>British Association for Sexual Health &amp; HIV (BASHH) Doctors-In-Training Day</t>
  </si>
  <si>
    <t>Once in 4 year training programme, anything more is recommended only.</t>
  </si>
  <si>
    <t>British Association for Sexual Health &amp; HIV (BASHH) Midlands Meeting</t>
  </si>
  <si>
    <t>British Association for Sexual Health &amp; HIV (BASHH) OGM London</t>
  </si>
  <si>
    <t>British Association for Sexual Health &amp; HIV (BASHH) Spring Meeting in GU Medicine</t>
  </si>
  <si>
    <t>British Association for Sexual Health &amp; HIV (BASHH) STIs &amp; HIV Course</t>
  </si>
  <si>
    <t>British HIV Association (BHIVA) Conference</t>
  </si>
  <si>
    <t>Genital Dermatology Course</t>
  </si>
  <si>
    <t>HIV Resistance Meeting/Workshop</t>
  </si>
  <si>
    <t>Letter of Competence in Intrauterine Device (LOC IUD)</t>
  </si>
  <si>
    <t>Recommended in training</t>
  </si>
  <si>
    <t>Letter of Competence in Subdermal Contraceptive Implant (LOC SDI)</t>
  </si>
  <si>
    <t>Practical Training For DFSRH</t>
  </si>
  <si>
    <t>Sexual Assault Course (HAVEN)</t>
  </si>
  <si>
    <t>Subdermal Implants</t>
  </si>
  <si>
    <t>British Geriatric Society or Special Interest Group Conference</t>
  </si>
  <si>
    <t>Curriculum specifies one meeting of BGS per year</t>
  </si>
  <si>
    <t>Continence Course</t>
  </si>
  <si>
    <t>Partly covered in regional teaching but no dedicated Geriatrician led continence service in peninsula - course required for most to achieve curriculum</t>
  </si>
  <si>
    <t>Movement Disorder Course</t>
  </si>
  <si>
    <t>At least one relevant college accredited movement disorders course</t>
  </si>
  <si>
    <t>Research Methodology Course</t>
  </si>
  <si>
    <t>Specified 1 research course in ARCP decision aid</t>
  </si>
  <si>
    <t>Age and Anaesthesia Association annual conference </t>
  </si>
  <si>
    <t xml:space="preserve">British Geriatric Society  Trainees Weekend </t>
  </si>
  <si>
    <t xml:space="preserve">Dorset Osteoporosis conference </t>
  </si>
  <si>
    <t>Evidence Based Perioperative Medicine (EBPOM) </t>
  </si>
  <si>
    <t>Good Clinical Practice (GCP) Course</t>
  </si>
  <si>
    <t xml:space="preserve">Genric Instructor Course </t>
  </si>
  <si>
    <t xml:space="preserve"> Advanced Care Planning</t>
  </si>
  <si>
    <t>Biology of Ageing &amp; Clinical Implications</t>
  </si>
  <si>
    <t>Botulinum Toxin Training for Neurological Diseases</t>
  </si>
  <si>
    <t>British Geriatrics Society (BGS) Subgroup Meetings</t>
  </si>
  <si>
    <t>Dizziness for the Physician: Vertigo, Balance &amp; Syncope</t>
  </si>
  <si>
    <t>Driving Assessment Course for Stroke Sufferers</t>
  </si>
  <si>
    <t>Managing Incontinence In The Older Person</t>
  </si>
  <si>
    <t>National Conference in Medicine For The Elderly</t>
  </si>
  <si>
    <t>Proactive Care of the Older Person Undergoing Surgery</t>
  </si>
  <si>
    <t>Research Methodology Course &amp;/or Good Clinical Practice</t>
  </si>
  <si>
    <t>Stroke Thrombolysis Course/Training Day</t>
  </si>
  <si>
    <t>Transcranial Ultrasound Course</t>
  </si>
  <si>
    <t>Trent British Geriatric Society Meeting</t>
  </si>
  <si>
    <t>UK Continence Society Annual Scientific Meeting</t>
  </si>
  <si>
    <t xml:space="preserve">National British Geriatric Society Meetings </t>
  </si>
  <si>
    <t xml:space="preserve">Osteoporosis/Bone health course </t>
  </si>
  <si>
    <t>RCP Approved Movement Disorders Course</t>
  </si>
  <si>
    <t>Regional Royal College Physicians Events (count as Internal Medicine training days)</t>
  </si>
  <si>
    <t>Count as GIM training day - realistically needed to ensure hours achieved for GIM. 1 per year reasonable expectation</t>
  </si>
  <si>
    <t>See IMT Stage 1 &amp; 2</t>
  </si>
  <si>
    <t>BSH/SIG Meetings</t>
  </si>
  <si>
    <t xml:space="preserve">Chemotherapy Prescribing Course </t>
  </si>
  <si>
    <t>Coagulation Course</t>
  </si>
  <si>
    <t xml:space="preserve">Essential Transfusion (NHSBT) 1 week </t>
  </si>
  <si>
    <t xml:space="preserve">Hematopathology Course </t>
  </si>
  <si>
    <t>Haemoglobinopathy Placement - where trainee is not in a region of high prevalence</t>
  </si>
  <si>
    <t xml:space="preserve">Intermediate Transfusion (NHSBT) 3 weeks </t>
  </si>
  <si>
    <t>Introductory/Basic Morphology Course</t>
  </si>
  <si>
    <t>Advanced Coagulation Course</t>
  </si>
  <si>
    <t>Advanced Haematology Morphology</t>
  </si>
  <si>
    <t>Haematology in Obstetrics Course</t>
  </si>
  <si>
    <t>Histopathology Of The Bone Marrow</t>
  </si>
  <si>
    <t>Laboratory Aspects Of Haemoglobinopathy Diagnosis</t>
  </si>
  <si>
    <t>Obstetric Haematology Course</t>
  </si>
  <si>
    <t>Post Ash Significant Highlights</t>
  </si>
  <si>
    <t>Sub-specialty update day/interest group’</t>
  </si>
  <si>
    <t>Transfusion Course - Relevant to the level of training</t>
  </si>
  <si>
    <t xml:space="preserve">ACP laboratory management course </t>
  </si>
  <si>
    <t>ACP/BSI hitchhikers training days</t>
  </si>
  <si>
    <t>BSACI National Allergy Training Days</t>
  </si>
  <si>
    <t>Clinical Observership</t>
  </si>
  <si>
    <t>Immunology winter school</t>
  </si>
  <si>
    <t>This is not a fixed course but is a requirement for completion of training as paediatric BMT experience is only available in 2 centres in the UK. GOSH/Newcastle offer bespoke training in 2x1 week block or a single 2 week blook for our trainees.</t>
  </si>
  <si>
    <t>One International EAACI &amp; ESID Meeting</t>
  </si>
  <si>
    <t>One National BSACI Meeting</t>
  </si>
  <si>
    <t>One UKPIN Meeting</t>
  </si>
  <si>
    <t xml:space="preserve">The Allergy Short Course </t>
  </si>
  <si>
    <t>Certain curriculum essential competencies are not available in the south west region and must be completed in a clinical setting</t>
  </si>
  <si>
    <t>BSACI Specialty Registrar Training Days</t>
  </si>
  <si>
    <t xml:space="preserve">Association of Clinical Pathologists Training Days </t>
  </si>
  <si>
    <t>The Immunology Short Course</t>
  </si>
  <si>
    <t>Advanced Life Support</t>
  </si>
  <si>
    <t>Please see Study Leave Guidance for more information.</t>
  </si>
  <si>
    <t xml:space="preserve">BASHH </t>
  </si>
  <si>
    <t>BHIVA</t>
  </si>
  <si>
    <t>BHIVA summer schools</t>
  </si>
  <si>
    <t>BIA Dilemma Day Neurological Infections</t>
  </si>
  <si>
    <t>BIA Spring Meeting</t>
  </si>
  <si>
    <t xml:space="preserve">Suggest 1 funded UK meeting a year if presenting </t>
  </si>
  <si>
    <t>BIA Trainee Days</t>
  </si>
  <si>
    <t>British Infection Association trainees days</t>
  </si>
  <si>
    <t>BSAC online OPAT course</t>
  </si>
  <si>
    <t>ESCMID</t>
  </si>
  <si>
    <t>Application through overseas process ensuring eligibility which will need NHSE approval.</t>
  </si>
  <si>
    <t>ESPID- European Paeds ID conference</t>
  </si>
  <si>
    <t>FIS Conference</t>
  </si>
  <si>
    <t>Healthcare Infection Society (HIS)/UKHSA Foundation Course in Infection Prevention and Control – attend 7/9 days</t>
  </si>
  <si>
    <t>Please apply for each module seperately</t>
  </si>
  <si>
    <t>HIV Dilemmas Meeting</t>
  </si>
  <si>
    <t>IDSA conference (ID week)</t>
  </si>
  <si>
    <t>Oxford Bone Infections Course</t>
  </si>
  <si>
    <t>Travel Medicine NaTHNaC conference/courses</t>
  </si>
  <si>
    <t>Euro ELSO conference</t>
  </si>
  <si>
    <t>ALERT (Acute Life-Threatening Events Recognition and Treatment) or ASCERT (Acute Systematic Clinical Emergency Response and Treatment)</t>
  </si>
  <si>
    <t>IMT1, 2, 3 (1 one course over IMS1)</t>
  </si>
  <si>
    <t>Simulation Training Day/Course</t>
  </si>
  <si>
    <t>IMPACT course</t>
  </si>
  <si>
    <t>IMT Procedural Skills Course</t>
  </si>
  <si>
    <t>One UK based conference where presenting a poster per IMT year</t>
  </si>
  <si>
    <t>IM 1, 2, 3 (one conference per year)</t>
  </si>
  <si>
    <t>RCP (Royal College of Physicians) Call the Medical Registrar</t>
  </si>
  <si>
    <t>Internal Medicine Training Stage 3</t>
  </si>
  <si>
    <t>RCP (Royal College of Physicians) Med+</t>
  </si>
  <si>
    <t>Internal Medicine Training Stage 4</t>
  </si>
  <si>
    <t>RCP (Royal College of Physicians) Update in medicine</t>
  </si>
  <si>
    <t>Internal Medicine Training Stage 5</t>
  </si>
  <si>
    <t>Bedside USS (Ultrasound) skills</t>
  </si>
  <si>
    <t>In IMY3 only providing have completed MRCP</t>
  </si>
  <si>
    <t>Acute ( or Acute and General Medicine) conferences – Society of Acute Medicine or Royal College of Physicians</t>
  </si>
  <si>
    <t>British Patient Safety Conference</t>
  </si>
  <si>
    <t>Focused Intensive Care Echocardiography (FICE)</t>
  </si>
  <si>
    <t>May be a requirement of training depending upon subspeciality training</t>
  </si>
  <si>
    <t>Ethics in medicine</t>
  </si>
  <si>
    <t xml:space="preserve">Maternal Medicine Conference Plymouth </t>
  </si>
  <si>
    <t>Plymouth Acute Medicine conference</t>
  </si>
  <si>
    <t>Point of care ultrasound course – Focused Acute Medicine Ultrasound (FAMUS), Focused Ultrasound in Intensive Care (FUSIC).</t>
  </si>
  <si>
    <t>Royal college of Physicians (RCP) National conference/speciality meeting</t>
  </si>
  <si>
    <t xml:space="preserve">Royal college of Physicians (RCP) regional updates </t>
  </si>
  <si>
    <t xml:space="preserve">Royal College of Physicians (RCP) Trainees conference </t>
  </si>
  <si>
    <t>Society of Acute Medicine Conference</t>
  </si>
  <si>
    <t>South West Acute Physician's Organisation (SWAPO) Meeting</t>
  </si>
  <si>
    <t xml:space="preserve">Ultrasound thoracic skills </t>
  </si>
  <si>
    <t>Association of Cancer Physicians (ACP) trainee weekend</t>
  </si>
  <si>
    <t>Must book SL days despite course taking place over weekend. Time to be taken back in lieu.</t>
  </si>
  <si>
    <t>Brachytherapy</t>
  </si>
  <si>
    <t>Brain and Spine Cancer</t>
  </si>
  <si>
    <t>Breast Cancer</t>
  </si>
  <si>
    <t>Cancer at different ages (Teenage Young Adults, geriatric etc)</t>
  </si>
  <si>
    <t xml:space="preserve">Cancer Biology Module </t>
  </si>
  <si>
    <t>GCP Training</t>
  </si>
  <si>
    <t>Genitourinary Cancer</t>
  </si>
  <si>
    <t>Head and Neck Cancer</t>
  </si>
  <si>
    <t>Hepatobiliary cancer</t>
  </si>
  <si>
    <t>Image/surface guided radiotherapy</t>
  </si>
  <si>
    <t>Immunotherapy course</t>
  </si>
  <si>
    <t>late effects and cancer rehabilitation</t>
  </si>
  <si>
    <t>Lower GI Cancer</t>
  </si>
  <si>
    <t>Lung Cancer</t>
  </si>
  <si>
    <t>Lymphoma and other haematological cancers</t>
  </si>
  <si>
    <t>Experimental Cancer Medicine Centres (ECMC) Junior Intestigator Network Group (JING) Course</t>
  </si>
  <si>
    <t>Clinical Trials Course</t>
  </si>
  <si>
    <t>Methods in Clinical Cancer Research (FLIMS) Clinical Trials Course</t>
  </si>
  <si>
    <t>Melanoma</t>
  </si>
  <si>
    <t>Molecular therapy</t>
  </si>
  <si>
    <t>Non-melanoma skin cancer course (eg Norwich)</t>
  </si>
  <si>
    <t>Paediatric Cancer</t>
  </si>
  <si>
    <t>Palliative Care</t>
  </si>
  <si>
    <t>Palliative radiotherapy course (eg Bristol)</t>
  </si>
  <si>
    <t>PI (Principle Investigator) and NIHR (National Institute of Clinical Research) clinical trials and research courses</t>
  </si>
  <si>
    <t>Proton therapy course (eg Manchester)</t>
  </si>
  <si>
    <t>Radiation Physics Module (two)</t>
  </si>
  <si>
    <t xml:space="preserve">Research Methods &amp; Statistics Module </t>
  </si>
  <si>
    <t>Please see guidance</t>
  </si>
  <si>
    <t>Safe Chemotherapy Prescribing Course (eg Exeter)</t>
  </si>
  <si>
    <t>Sarcoma</t>
  </si>
  <si>
    <t>Stereotactic Radiosurgery (SRS) / Stereotactic Radiotherapy (SABR) / advanced radiotherapy techniques conference / course</t>
  </si>
  <si>
    <t>Translational research courses</t>
  </si>
  <si>
    <t>Upper Gastrointestinal (GI) Cancer</t>
  </si>
  <si>
    <t>Annual Trainee Oncology Meeting (ATOM) and Association of Cancer Physicians (ACP) trainee weekend</t>
  </si>
  <si>
    <t>Funding for three attendances to ATOM course during registrar training</t>
  </si>
  <si>
    <t xml:space="preserve">Medical ophthalmology Medical ophthalmology society UK meeting </t>
  </si>
  <si>
    <t>2-3 Courses advised</t>
  </si>
  <si>
    <t xml:space="preserve">Medical ophthalmology Neuro-ophthalmology society UK meeting </t>
  </si>
  <si>
    <t>Neuro-ophthalmology emergency course</t>
  </si>
  <si>
    <t>Ocular imaging course</t>
  </si>
  <si>
    <t>Ocular oncology course</t>
  </si>
  <si>
    <t>Ocular ultrasound course</t>
  </si>
  <si>
    <t>Radiology- anatomy</t>
  </si>
  <si>
    <t>Refraction course</t>
  </si>
  <si>
    <t xml:space="preserve">Royal College of Ophthalmologists Congress </t>
  </si>
  <si>
    <t>The macula  course</t>
  </si>
  <si>
    <t>Uveitis course</t>
  </si>
  <si>
    <t>ABN Annual Meetings &amp; Trainee Days (at least twice during training)</t>
  </si>
  <si>
    <t>Alzheimer's Research UK Conference</t>
  </si>
  <si>
    <t>BASH Headache Course</t>
  </si>
  <si>
    <t>Birmingham Movement Disorders Course</t>
  </si>
  <si>
    <t>BPNS Teaching Course on Peripheral Neuropathy</t>
  </si>
  <si>
    <t>One only.</t>
  </si>
  <si>
    <t>British Association of Stroke Physicians Trainee Weekend</t>
  </si>
  <si>
    <t>British Myology Society Annual Meeting</t>
  </si>
  <si>
    <t>British Myology Society Annual Teaching Day</t>
  </si>
  <si>
    <t>British Neuropsychiatry Association Teaching Weekend</t>
  </si>
  <si>
    <t>British Peripheral Nerve Society Training Day</t>
  </si>
  <si>
    <t>Cambridge Dementia Course</t>
  </si>
  <si>
    <t>Co-Morbidities of Epilepsy</t>
  </si>
  <si>
    <t>Congress Of The European Pain Federation</t>
  </si>
  <si>
    <t>Application through overseas process ensuring eligibility which will need NHSE approval. Discretionary if in UK.</t>
  </si>
  <si>
    <t>Dizziness &amp; Balance Workshop</t>
  </si>
  <si>
    <t xml:space="preserve">EAN Regional Teaching Course </t>
  </si>
  <si>
    <t>Edinburgh Clinical Neurology Course</t>
  </si>
  <si>
    <t>Edinburgh Sleep Course</t>
  </si>
  <si>
    <t>Frontiers In Traumatic Brain Injury</t>
  </si>
  <si>
    <t>Frontiers in Traumatic Brain Injury</t>
  </si>
  <si>
    <t>Frontotemporal Dementia UK Meeting</t>
  </si>
  <si>
    <t>Fundamentals of Neuroradiology Course</t>
  </si>
  <si>
    <t>Great North Neurology Training Course</t>
  </si>
  <si>
    <t>Headache Academy</t>
  </si>
  <si>
    <t xml:space="preserve">Headache Masterclass </t>
  </si>
  <si>
    <t>Human Brain Anatomy Course</t>
  </si>
  <si>
    <t>Idiopathic Intracranial Hypertension Masterclass</t>
  </si>
  <si>
    <t>ILAE British Chapter Annual Meeting</t>
  </si>
  <si>
    <t>International League Against Epilepsy (ILAE) British Chapter SpR Teaching Weekend</t>
  </si>
  <si>
    <t>International League Against Epilepsy (ILAE) EEG course</t>
  </si>
  <si>
    <t>Leading Edge Neurology For The Practising Clinician</t>
  </si>
  <si>
    <t>Liverpool Neurology Disease Course</t>
  </si>
  <si>
    <t>MDS Congress</t>
  </si>
  <si>
    <t>MDS European Section -School for Young Neurologists</t>
  </si>
  <si>
    <t>National Hospital for Neurology &amp; Neurosurgery Educational Course</t>
  </si>
  <si>
    <t>National Hospital for Neurology &amp; Neurosurgery Neuroradiology &amp; Functional Neuroanatomy</t>
  </si>
  <si>
    <t>NENA Meetings</t>
  </si>
  <si>
    <t>Neurocourses Neuroanatomy</t>
  </si>
  <si>
    <t>Neurology Academy Courses</t>
  </si>
  <si>
    <t>Neuro-Ophthalmology Afferents Course</t>
  </si>
  <si>
    <t>Neuro-Ophthalmology Efferents Course</t>
  </si>
  <si>
    <t>Neuroradiology &amp; Functional Neuroanatomy</t>
  </si>
  <si>
    <t>NIHR Stroke Research Workshop</t>
  </si>
  <si>
    <t>Oxford Neurology Course</t>
  </si>
  <si>
    <t>Peripheral Nerve Society Annual Meeting</t>
  </si>
  <si>
    <t>Practical Cognition Course</t>
  </si>
  <si>
    <t>Queen Square Movement Disorder Short Course</t>
  </si>
  <si>
    <t xml:space="preserve">RCP Effective Teaching Skills Workshop </t>
  </si>
  <si>
    <t>RCP On-the-job Teaching Workshop</t>
  </si>
  <si>
    <t>RCP Peer Support Network</t>
  </si>
  <si>
    <t>RCP Workplace Based Assessment Workshop</t>
  </si>
  <si>
    <t>Sonography Assisted Lumbar Puncture Course</t>
  </si>
  <si>
    <t>SWENA annual meeting</t>
  </si>
  <si>
    <t xml:space="preserve">The ABN national meeting </t>
  </si>
  <si>
    <t>2 attendances required by curriculum</t>
  </si>
  <si>
    <t>Triennial Teaching Course in Clinical Neurophysiology</t>
  </si>
  <si>
    <t>UK CSF Disorders Day</t>
  </si>
  <si>
    <t>West of England Seminars in Advanced Neurology (WESAN)</t>
  </si>
  <si>
    <t>World Congress of Neurology</t>
  </si>
  <si>
    <t>(HAVS) Course</t>
  </si>
  <si>
    <t xml:space="preserve"> Legal Issues - relevant to OM &amp; Physician Health Skills update </t>
  </si>
  <si>
    <t>APLS</t>
  </si>
  <si>
    <t>Association for European Paediatric Cardiology Arrhythmia Course</t>
  </si>
  <si>
    <t>Application through overseas process ensuring eligibility which will need NHSE approval. Discretionary if in the UK</t>
  </si>
  <si>
    <t>Basic Echocardiography Course</t>
  </si>
  <si>
    <t>Cardiac Morphology Course</t>
  </si>
  <si>
    <t>Cardiac Pacing Course</t>
  </si>
  <si>
    <t>Two days in total, during HST, recommend 1 day every 2 years min (currently as part of regional training day)</t>
  </si>
  <si>
    <t>European Association of Cardiovascular Imaging (EACVI)</t>
  </si>
  <si>
    <t>Application through overseas process ensuring eligibility which will need NHSE approval. If in the Uk, Discretionary.</t>
  </si>
  <si>
    <t>IRMER Certificate</t>
  </si>
  <si>
    <t>Min x 1 during HST, any stage.</t>
  </si>
  <si>
    <t>Trans-Oesophageal Echocardiography Course</t>
  </si>
  <si>
    <t>Advanced course in pain and symptom management</t>
  </si>
  <si>
    <t xml:space="preserve">No specified course but recommend Sobell Advanced pain and symptom management course, Advanced pain and symptom management course. </t>
  </si>
  <si>
    <t>Advanced ethics in palliative medicine</t>
  </si>
  <si>
    <t xml:space="preserve">No specified course, available include Sobell education. </t>
  </si>
  <si>
    <t>Palliative care research skills course</t>
  </si>
  <si>
    <t xml:space="preserve">No specified course, available include Kings.  </t>
  </si>
  <si>
    <t>Practical clinical skills training</t>
  </si>
  <si>
    <t>Research conference</t>
  </si>
  <si>
    <t xml:space="preserve">No specified national conference but recommend Palliative Care Congress. </t>
  </si>
  <si>
    <t>Advanced Prosthetic &amp; Amputee Course</t>
  </si>
  <si>
    <t>British Society of Physical and Rehabilitation Medicine South of England Rehabilitation Medicine Day/Conference</t>
  </si>
  <si>
    <t>British Society of Physical &amp; Rehabilitation Medicine National Teaching Programme</t>
  </si>
  <si>
    <t>British Society of Physical &amp; Rehabilitation Medicine Trauma Rehabilitation Course/Conference</t>
  </si>
  <si>
    <t>British Society of Physical &amp; Rehabilitation Medicine annual meeting/conference</t>
  </si>
  <si>
    <t xml:space="preserve">British Society of Physical &amp; Rehabilitation Medicine Specialist Rehabilitation Course </t>
  </si>
  <si>
    <t>British Society of Physical &amp; Rehabilitation Medicine - British Association of Spinal Cord Injury Specialists Spinal Injuries Course</t>
  </si>
  <si>
    <t>Electronic Assistive Technology Course</t>
  </si>
  <si>
    <t>Gait Analysis/Training Course</t>
  </si>
  <si>
    <t>International League Against Epilepsy British Chapter  Teaching Weekend</t>
  </si>
  <si>
    <t>National Musculoskeletal Medicine and Rehabilitation course</t>
  </si>
  <si>
    <t>Orthotics Course</t>
  </si>
  <si>
    <t>Oxford Clinical Neurology Course</t>
  </si>
  <si>
    <t>Spasticity management courses</t>
  </si>
  <si>
    <t>Can attend this course twice.</t>
  </si>
  <si>
    <t>Society for Research in Rehabilitation meeting/conference</t>
  </si>
  <si>
    <t>19th Supportive Care for the Renal Patient</t>
  </si>
  <si>
    <t>Advanced Nephrology Course</t>
  </si>
  <si>
    <t>British Transplant Society meeting</t>
  </si>
  <si>
    <t>DAYLife Summit</t>
  </si>
  <si>
    <t>Dialysis 200x</t>
  </si>
  <si>
    <t>FAMUS - abdominal/renal module</t>
  </si>
  <si>
    <t>FAMUS/POCUS course</t>
  </si>
  <si>
    <t>GlomCon Seminars</t>
  </si>
  <si>
    <t>Hammersmith Short course on glomerular diseases</t>
  </si>
  <si>
    <t xml:space="preserve">Imperial Dialysis Academy </t>
  </si>
  <si>
    <t xml:space="preserve">Imperial renal pathology course </t>
  </si>
  <si>
    <t>KCL current topics in lupus nephritis</t>
  </si>
  <si>
    <t>KCL renal pregnancy symposium</t>
  </si>
  <si>
    <t xml:space="preserve">London Concise Nephrology Course </t>
  </si>
  <si>
    <t xml:space="preserve">Mental capacity and Best Interests in Kidney Care Training Workshop </t>
  </si>
  <si>
    <t>National Acute Stroke Simulation Course</t>
  </si>
  <si>
    <t>Part 2 Essential Knowledge in Obstetric Medicine</t>
  </si>
  <si>
    <t>PD academy</t>
  </si>
  <si>
    <t>RCPE renal symposium</t>
  </si>
  <si>
    <t>Renal Pathology for the Nephrologist</t>
  </si>
  <si>
    <t>Renal Physiology for the Clinician</t>
  </si>
  <si>
    <t xml:space="preserve">RSM nephrology events </t>
  </si>
  <si>
    <t>SpR Club meetings (6-monthly, two-day events)</t>
  </si>
  <si>
    <t>UCL Applied Renal Physiology Course</t>
  </si>
  <si>
    <t>UCL Transplant course</t>
  </si>
  <si>
    <t>UK annual dialysis conference</t>
  </si>
  <si>
    <t>UK kidney week Annual Meeting</t>
  </si>
  <si>
    <t>UKKA international meetings (6-monthly, half day event)</t>
  </si>
  <si>
    <t>British Thoracic Oncology Group conference</t>
  </si>
  <si>
    <t>British Thoracic Oncology Group courses on lung cancer</t>
  </si>
  <si>
    <t xml:space="preserve">British Thoracic Society summer conference </t>
  </si>
  <si>
    <t>Only 1 of Winter BTS, Summer BTS to be funded per year.</t>
  </si>
  <si>
    <t>British Thoracic Society Lung Transplant Course</t>
  </si>
  <si>
    <t>BTS Short Courses</t>
  </si>
  <si>
    <t>BTS winter conference</t>
  </si>
  <si>
    <t>Clinical Attachment In Cystic Fibrosis</t>
  </si>
  <si>
    <t>Clinical attachment In Lung transplant</t>
  </si>
  <si>
    <t>Clinical Attachment In Pulmonary Hypertension</t>
  </si>
  <si>
    <t xml:space="preserve">Trainees may be asked to contribute towards the cost. </t>
  </si>
  <si>
    <t>Edinburgh Sleep Medicine Course</t>
  </si>
  <si>
    <t>Edinburgh Thoracic CT Course</t>
  </si>
  <si>
    <t>European Respiratory Society Annual conference (if presenting original work, maximum 1 supported attendance during training)</t>
  </si>
  <si>
    <t>Manchester Interstitial Lung Disease Course</t>
  </si>
  <si>
    <t>Medical Thoracoscopy Course</t>
  </si>
  <si>
    <t>Based on curriculum requirements</t>
  </si>
  <si>
    <t>Occupational Lung Disease Course</t>
  </si>
  <si>
    <t>Occupational Lung Disease Attachment</t>
  </si>
  <si>
    <t>Pleural Ultrasound Course</t>
  </si>
  <si>
    <t>Rare / Orphan Lung Disease Course</t>
  </si>
  <si>
    <t>Rare Diseases Of The Lung</t>
  </si>
  <si>
    <t xml:space="preserve">Research Methodology Course </t>
  </si>
  <si>
    <t>Respiratory Physiology Course</t>
  </si>
  <si>
    <t>Sleep conference</t>
  </si>
  <si>
    <t>Thoracic Radiology Course</t>
  </si>
  <si>
    <t>Thoracic Ultrasound Course</t>
  </si>
  <si>
    <t>UK Thoracoscopy &amp; Pleural Disease Course</t>
  </si>
  <si>
    <t>West Country Chest Society annual meeting</t>
  </si>
  <si>
    <t>10 topics in rheumatology</t>
  </si>
  <si>
    <t>British Society of Rheumatology Core course (once for ST3/4)</t>
  </si>
  <si>
    <t>BSr Gout Course</t>
  </si>
  <si>
    <t xml:space="preserve">BSR annual conference </t>
  </si>
  <si>
    <t xml:space="preserve">BSR based case conference </t>
  </si>
  <si>
    <t>BSR Basic Musculoskeletal Ultrasound Course</t>
  </si>
  <si>
    <t>BSR Core Course</t>
  </si>
  <si>
    <t>BSR Developing Skills In Ultrasound</t>
  </si>
  <si>
    <t>BSR Foot &amp; Ankle Course</t>
  </si>
  <si>
    <t>BSR Nailfold Capillaroscopy course</t>
  </si>
  <si>
    <t>Sometimes completed during Regional Teaching on an ad hoc basis but not available at all Trusts. This course would supplement the training that is available nicely.</t>
  </si>
  <si>
    <t>BSR Patient voices course</t>
  </si>
  <si>
    <t>BSR Quality improvement course</t>
  </si>
  <si>
    <t>BSR Vasculitis Course</t>
  </si>
  <si>
    <t>EULAR Online Course</t>
  </si>
  <si>
    <t>GCP Course</t>
  </si>
  <si>
    <t>National Osteoporosis Society Conference (x 1 in training period)</t>
  </si>
  <si>
    <t>National Osteoporosis Society Meeting</t>
  </si>
  <si>
    <t>Oxford clinical training course in osteoporosis and metabolic bone disease</t>
  </si>
  <si>
    <t>Regional Joint Injection Course - Cadaveric Skills</t>
  </si>
  <si>
    <t>Regional Musculoskeletal Ultrasound Course</t>
  </si>
  <si>
    <t xml:space="preserve">UK and Ireland Vasculitis Rare Disease Group (UKIVas) Third Course </t>
  </si>
  <si>
    <t>Exercise physiology/CPET (Cardiopulmonary Exercise Testing)</t>
  </si>
  <si>
    <t>Clinical Supervisor Training Course</t>
  </si>
  <si>
    <t>Educational Supervisor Training Course</t>
  </si>
  <si>
    <t>Exercise Physiology /CPET</t>
  </si>
  <si>
    <t>REMO/RFU Pitchside Course</t>
  </si>
  <si>
    <t>Skills Course in Musculoskeletal Ultrasound Course</t>
  </si>
  <si>
    <t>Ultrasound Course (but not PgCert/Masters)</t>
  </si>
  <si>
    <t>Attendance at a British and Irish Association of Stroke Physicians (BIASP) trainee meeting</t>
  </si>
  <si>
    <t>Attendance at UK Stroke Forum (UKSF) or European Stroke Organisation Conference (ESOC)</t>
  </si>
  <si>
    <t>Application through overseas process ensuring eligibility which will need NHSE approval for course. If in the UK, Essential</t>
  </si>
  <si>
    <t>Stroke neuroimaging course</t>
  </si>
  <si>
    <t>A+E Plain Film (Red Dot)</t>
  </si>
  <si>
    <t>This course is a Essential for ST1's</t>
  </si>
  <si>
    <t>Abdominal and Pelvic MR course (informed)</t>
  </si>
  <si>
    <t xml:space="preserve">ALICE </t>
  </si>
  <si>
    <t>This course is not funded as currently pending approval</t>
  </si>
  <si>
    <t>Annual Specialist Registrar Educational ST5 Programme (ASPiRE 5)</t>
  </si>
  <si>
    <t>Aortic CT</t>
  </si>
  <si>
    <t>ARSAC Certification Lectures</t>
  </si>
  <si>
    <t xml:space="preserve">ASNR (American Society of Neuroradiology) </t>
  </si>
  <si>
    <t>Basic Intervention</t>
  </si>
  <si>
    <t>British Institute of Radiology (BIR) annual meeting</t>
  </si>
  <si>
    <t>British Institute of Radiology (BIR) Head &amp; Neck Imaging refresher course</t>
  </si>
  <si>
    <t>British Medical Ultrasound Society (BMUS) paediatric study day</t>
  </si>
  <si>
    <t>British Nuclear Medicine Society (BNMS) Spring Meeting 2022</t>
  </si>
  <si>
    <t>Breast MRI Course</t>
  </si>
  <si>
    <t>Breast screening courses. Nottingham, Cambridge &amp; Kings college</t>
  </si>
  <si>
    <t>Breast Tomosynthesis Course</t>
  </si>
  <si>
    <t>British Medical Ultrasound Society - Annual scientific meeting</t>
  </si>
  <si>
    <t>British Medical Ultrasound Society Gynaecological Study Day</t>
  </si>
  <si>
    <t>British Musculoskeletal Ultrasound Course</t>
  </si>
  <si>
    <t>British Nuclear Medicine Society Annual Meeting</t>
  </si>
  <si>
    <t>British Nuclear Medicine Society Lung Cancer Staging Study day</t>
  </si>
  <si>
    <t>British Society of Breast Radiology Annual Meeting</t>
  </si>
  <si>
    <t>British Society of Cardiac Imaging - Cardiac CT Course (Level 1)</t>
  </si>
  <si>
    <t>British Society of Endovascular Therapy annual meeting</t>
  </si>
  <si>
    <t xml:space="preserve">British Society of Endovascular Therapy endovascular training course </t>
  </si>
  <si>
    <t>British Society of Endovascular therapy training course</t>
  </si>
  <si>
    <t>British Society of Gastrointestinal Radiology BSGAR Annual Meeting</t>
  </si>
  <si>
    <t>British society of head and neck imaging: Annual conference</t>
  </si>
  <si>
    <t>British society of head and neck imaging: Refresher course</t>
  </si>
  <si>
    <t>British Society of Interventional Radiology BSIR Annual Meeting</t>
  </si>
  <si>
    <t xml:space="preserve">British Society of Interventional Radiology Paediatric UK  Annual Meeting </t>
  </si>
  <si>
    <t>British Society of Neuroradiology annual conference BSNR</t>
  </si>
  <si>
    <t>British Society of Paediatric Radiology BSPR Annual Meeting</t>
  </si>
  <si>
    <t>British Society of Skeletal Radiology BSSR Refresher Course</t>
  </si>
  <si>
    <t>British society of skeletal radioloigsts: refresher course</t>
  </si>
  <si>
    <t>British Society of Thoracic Imaging AGM</t>
  </si>
  <si>
    <t>British spinal intervention course</t>
  </si>
  <si>
    <t xml:space="preserve"> British Society of Cardiovascular Imaging (BSCI) annual meeting</t>
  </si>
  <si>
    <t>British Society of Emergency Radiology (BSER) annual meeting</t>
  </si>
  <si>
    <t>British Society of Gastrointestinal and Abdominal Radiology (BSGAR) annual registrar study day</t>
  </si>
  <si>
    <t>British Society of Gastrointestinal and Abdominal Radiology (BSGAR) Hands on imaging Rectal MR course</t>
  </si>
  <si>
    <t xml:space="preserve">British Society of Gastrointestinal and Abdominal Radiology BSGAR/PCUK Pancreatic cancer Workshop </t>
  </si>
  <si>
    <t>BSGI/BGCS/BMUS virtual study day on imaging in Gynaecological Cancer Diagnostics</t>
  </si>
  <si>
    <t>British Society of Interventional Radiology (BSIR) Advanced practice course</t>
  </si>
  <si>
    <t>British Society of Interventional Radiology (BSIR) IOUK</t>
  </si>
  <si>
    <t>British Society of Thoracic Imaging (BSTI) annual meeting</t>
  </si>
  <si>
    <t>British Society of Urogenital Radiology (BSUR) annual meeting (including pre course workshops)</t>
  </si>
  <si>
    <t>British Society of Urogenital Radiology (BSUR) annual registrar study day</t>
  </si>
  <si>
    <t>British Society of Urogenital Radiology (BSUR) prostate MRI course</t>
  </si>
  <si>
    <t>Cancer Imaging Perspectives Course</t>
  </si>
  <si>
    <t>Cardiac CT (level 2)</t>
  </si>
  <si>
    <t>Cardiac MRI (level 1/2)</t>
  </si>
  <si>
    <t>Cardiovascular and Interventional Radiological Society of Europe (CIRSE)</t>
  </si>
  <si>
    <t>Cardiovascular and interventional radiological society of europe course</t>
  </si>
  <si>
    <t>Conscious sedation course</t>
  </si>
  <si>
    <t>Contrast mammography workshop</t>
  </si>
  <si>
    <t>Cook VISTA Workshops - Lower Limb Vascular, Embolisation</t>
  </si>
  <si>
    <t>CT Abdo</t>
  </si>
  <si>
    <t>CT Colonography</t>
  </si>
  <si>
    <t>ECR</t>
  </si>
  <si>
    <t>Emergency &amp; Trauma Imaging Course(s)</t>
  </si>
  <si>
    <t>Erasmus Course on Head and Neck MRI</t>
  </si>
  <si>
    <t>Overseas request form will be required to attend in person through NHSE SW</t>
  </si>
  <si>
    <t>ESGAR CT Colon</t>
  </si>
  <si>
    <t>ESGAR MR Bowel</t>
  </si>
  <si>
    <t>ESGAR MR Liver</t>
  </si>
  <si>
    <t>ESHNR Masterclass in Head and Neck Radiology</t>
  </si>
  <si>
    <t>Essential Neuro MRI Study Day</t>
  </si>
  <si>
    <t>ESUR prostate MRI course</t>
  </si>
  <si>
    <t>European course for minimally invasive neurovascular therapy</t>
  </si>
  <si>
    <t>European Course in Head &amp; Neck Neuroradiology</t>
  </si>
  <si>
    <t>European Course of Neuroradiology (ECNR)</t>
  </si>
  <si>
    <t>European society of Head and neck radiology:  Annual Meeting</t>
  </si>
  <si>
    <t>European Society of Minimally Invasive Neurological Therapy (ESMINT)</t>
  </si>
  <si>
    <t>European Society of Neuroradiology annual conference ESNR</t>
  </si>
  <si>
    <t>European Society of Thoracic Imaging - Annual course</t>
  </si>
  <si>
    <t>European Society of Thoracic Imaging - annual scientific meeting</t>
  </si>
  <si>
    <t>Gynaecology MRI virtual course (informed online)</t>
  </si>
  <si>
    <t>Application through overseas process ensuring eligibility which will need NHSE approval. Discretionary if in UK or online</t>
  </si>
  <si>
    <t>Head &amp; Neck Ultrasound Workshop</t>
  </si>
  <si>
    <t>High-Resolution Computed Tomography (HRCT) Course</t>
  </si>
  <si>
    <t>Imaging in Gynaecology &amp; Infertility</t>
  </si>
  <si>
    <t>Intermediate MRI Course</t>
  </si>
  <si>
    <t>International skeletal society ISS annual meeting</t>
  </si>
  <si>
    <t>Introduction to Cardiac CT Level 1 course</t>
  </si>
  <si>
    <t>Kings MSK MRI course</t>
  </si>
  <si>
    <t>MSK USS course (SMUG)</t>
  </si>
  <si>
    <t xml:space="preserve">National Institute for Health and Care Research (NIHR) Imaging/RCR AI workshop </t>
  </si>
  <si>
    <t>Nuclear cardiology  course</t>
  </si>
  <si>
    <t>Oxford MRI course</t>
  </si>
  <si>
    <t>Paediatric Hip ultrasound Graf Course</t>
  </si>
  <si>
    <t>Paediatric plain film course</t>
  </si>
  <si>
    <t>Paediatric Radiology Course</t>
  </si>
  <si>
    <t>Peninsula Interventional Radiology course</t>
  </si>
  <si>
    <t>PET in the Practice in Oncology</t>
  </si>
  <si>
    <t>PET-CT Essentials BIR (British Institute of Radiology)</t>
  </si>
  <si>
    <t xml:space="preserve">PET-CT fundamentals </t>
  </si>
  <si>
    <t>Petrous temporal bone course</t>
  </si>
  <si>
    <t>Practical Tips For Imaging Children</t>
  </si>
  <si>
    <t>Radiological Society of North America annual meeting (virtual attendance)</t>
  </si>
  <si>
    <t>If attendance is requested please see overseas process.</t>
  </si>
  <si>
    <t>Radiology of Bones &amp; Joints Course</t>
  </si>
  <si>
    <t>Emergency &amp; Trauma Imaging Course</t>
  </si>
  <si>
    <t>RCR Clinical radiology Artificial Intelligence (AI): A blended learning programme</t>
  </si>
  <si>
    <t>RCR global AI conference</t>
  </si>
  <si>
    <t>Once during rotation. Please read the overseas sections within the study leave guidance for more information.</t>
  </si>
  <si>
    <t>RCR Global conference</t>
  </si>
  <si>
    <t>RCR Neonatal imaging day</t>
  </si>
  <si>
    <t>RCR REALM meeting</t>
  </si>
  <si>
    <t>RCR thoracic imaging masterclass</t>
  </si>
  <si>
    <t>Royal College of Radiologists / British Society of Paediatric Radiology (RCR/BSPR) study day: acute GI/GU presentations in children</t>
  </si>
  <si>
    <t>Rectal MRI virtual hands on Workshop - Gina Brown/Marsden</t>
  </si>
  <si>
    <t>Royal College of Radiology Annual Conference</t>
  </si>
  <si>
    <t xml:space="preserve">Royal Marsden Imaging of Acute Oncology </t>
  </si>
  <si>
    <t xml:space="preserve">Radiological Society of North America (RSNA) AI Foundation Certificate </t>
  </si>
  <si>
    <t>SERF</t>
  </si>
  <si>
    <t>SLICE (Stroke Live Course)</t>
  </si>
  <si>
    <t>Society of Radiologists in training SRT annual meeting</t>
  </si>
  <si>
    <t>Spinal MRI, Oswestery</t>
  </si>
  <si>
    <t>The midlands Interventional Radiology Skills Course</t>
  </si>
  <si>
    <t>UK Imaging &amp; Oncology (UKIO) annual conference</t>
  </si>
  <si>
    <t>Women's Cross Sectional Imaging Course</t>
  </si>
  <si>
    <t>Alcon Experience Wetlab Courses</t>
  </si>
  <si>
    <t>British and Eire Association of Vitreoretinal Surgeons (BEAVRS) annual meeting</t>
  </si>
  <si>
    <t>British &amp; Irish Paediatric Ophthalmology &amp; Strabismus Association (BIPOSA) annual meeting</t>
  </si>
  <si>
    <t>Birmingham Neuro-Ophthalmology Afferent and Efferent Course</t>
  </si>
  <si>
    <t>Birmingham Neuro-ophthalmology Afferent/Efferent Course</t>
  </si>
  <si>
    <t>British Oculoplastic Surgery Society (BOPSS) - Oculoplastics</t>
  </si>
  <si>
    <t>Bowman Club Annual Meeting</t>
  </si>
  <si>
    <t>British Emergency Eye Care Society Meeting (BEECS)</t>
  </si>
  <si>
    <t>Cambridge Ophthalmological Symposium</t>
  </si>
  <si>
    <t>Once per Rotation</t>
  </si>
  <si>
    <t>Coventry Cadaveric Surgery Course</t>
  </si>
  <si>
    <t>East of England Glaucoma Microsurgical Conference (iGleams)</t>
  </si>
  <si>
    <t>EuRetina</t>
  </si>
  <si>
    <t>Application through overseas process ensuring eligibility which will need NHSE approval for course. If in the UK, Essential.</t>
  </si>
  <si>
    <t>European Paediatric Ophthalmology Society (EPOS)</t>
  </si>
  <si>
    <t>European Society of Cataract and Refractive Surgeons (ESCRS)</t>
  </si>
  <si>
    <t>Eye In Systemic Disease - Glasgow</t>
  </si>
  <si>
    <t>Glaucoma in a Day Webinar</t>
  </si>
  <si>
    <t>Great Ormond Street Hospital (GOSH) - Visiting Professors' Day</t>
  </si>
  <si>
    <t>HILS courses (Hull Institute of Learning and Simulation)</t>
  </si>
  <si>
    <t>Introduction to phacoemulsification Course</t>
  </si>
  <si>
    <t>Compulsory</t>
  </si>
  <si>
    <t>Moorfields Education - Clinical Electrophysiology of Vision</t>
  </si>
  <si>
    <t>Moorfields Education - Deep Anterior Lamellar Keratoplasty (DALK)</t>
  </si>
  <si>
    <t>Moorfields Education - Descemet’s membrane endothelial keratoplasty (DMEK)</t>
  </si>
  <si>
    <t>Moorfields Education - Macular Course</t>
  </si>
  <si>
    <t>Moorfields Education - Paediatric Glaucoma</t>
  </si>
  <si>
    <t>Moorfields Education - Refractive Surgery One Day Course</t>
  </si>
  <si>
    <t>Moorfields Education - Testing the Genome in Ophthalmology</t>
  </si>
  <si>
    <t>Moorfields Education Complex Strabismus Course</t>
  </si>
  <si>
    <t>Newcastle Surgical Training Centre - Cadaveric Courses</t>
  </si>
  <si>
    <t>Oxford Ophthalmological Conference</t>
  </si>
  <si>
    <t>RCO Anterior Vitrectomy/trauma course</t>
  </si>
  <si>
    <t>Very much recommended pre CCT</t>
  </si>
  <si>
    <t>RCO Curriculum Based Courses (any)</t>
  </si>
  <si>
    <t>RCO New Consultant Course</t>
  </si>
  <si>
    <t>Contents are specific to Ophthalmology and are not generic, and are not covered by regional teaching or the Deanery - new curriculum means CCT could be brought forward to ST5 hence appropriate for ST5-7</t>
  </si>
  <si>
    <t>RCO Ocular Ultrasound Course</t>
  </si>
  <si>
    <t>Royal College of Ophthalmologists Congress</t>
  </si>
  <si>
    <t>Thea Wetlabs/webinars</t>
  </si>
  <si>
    <t>UK and Éire Glaucoma Society (UKEGS) Annual Congress</t>
  </si>
  <si>
    <t>United Kingdom &amp; Ireland Society of Cataract and Refractive Surgeons (UKISCRS) Annual Congress</t>
  </si>
  <si>
    <t>United Kingdom &amp; Ireland Society of Cataract and Refractive Surgeons (UKISCRS) Cornea/cataract day</t>
  </si>
  <si>
    <t>W Midlands Advanced Cadaveric Strabismus Course</t>
  </si>
  <si>
    <t>Autism Diagnostic Observation Schedule</t>
  </si>
  <si>
    <t>British Association for Community Child Health (BACCH) Meeting</t>
  </si>
  <si>
    <t>Child Protection: Recognition &amp; Response Advanced Life Support (ALSG)</t>
  </si>
  <si>
    <t>See study leave guidance for Life Support Courses for funding allocation.</t>
  </si>
  <si>
    <t>Developmental Assessment Course</t>
  </si>
  <si>
    <t>e.g. Bayley, Griffiths.</t>
  </si>
  <si>
    <t>Sleep course</t>
  </si>
  <si>
    <t>Also Special Interest Training (SPIN) trainees in Sleep medicine. Most popular is the Southampton course https://www.piernetwork.org/sst.html</t>
  </si>
  <si>
    <t>Advanced Resuscitation of the Newborn Infant (ARNI) Course</t>
  </si>
  <si>
    <t>Sub specialty training in Paeds (GRID) and (SPIN) neonatal resident doctors</t>
  </si>
  <si>
    <t>British Association of Perinatal Medicine (BAPM) annual conference</t>
  </si>
  <si>
    <t>Cranial Ultrasound Course</t>
  </si>
  <si>
    <t>Echocardiography Course</t>
  </si>
  <si>
    <t>e-LFH: Neonatal Post-Mortem training</t>
  </si>
  <si>
    <t>NeoBUS - Neonatal bedside Ultrasound course</t>
  </si>
  <si>
    <t>Neonatal Neurology Assessment &amp; Treatment Education (NeoNATE) course</t>
  </si>
  <si>
    <t>Neonatal Society</t>
  </si>
  <si>
    <t>NTIG - Neonatal Transport Interest Group</t>
  </si>
  <si>
    <t>Transport Course</t>
  </si>
  <si>
    <t xml:space="preserve">National Neonatal GRID Trainee Meeting </t>
  </si>
  <si>
    <t>Mandated annual meeting for Neonatal GRID trainees</t>
  </si>
  <si>
    <t>Adolescent Health E-Learning</t>
  </si>
  <si>
    <t>inc. aviation</t>
  </si>
  <si>
    <t>British Paediatric Allergy, Immunity and Infection Group (BPAIIG) Annual Conference</t>
  </si>
  <si>
    <t>British Paediatric Allergy, Immunity and Infection Group (BPAIIG) Study Day</t>
  </si>
  <si>
    <t>British Society for Allergy and Clinical Immunology (BSACI) Training Days</t>
  </si>
  <si>
    <t>CHIVA - Children's HIV annual meeting</t>
  </si>
  <si>
    <t>European Society for Immunodeficiencies (ESID) annual</t>
  </si>
  <si>
    <t>European Society for Immunodeficiencies (ESID) winter training course</t>
  </si>
  <si>
    <t>European Society for Paediatric Infectious Diseases (ESPID) annual</t>
  </si>
  <si>
    <t xml:space="preserve"> Infection and Immunity in Children (IIC) Oxford Course</t>
  </si>
  <si>
    <t>Outpatient Parenteral Antimicrobial Therapy (OPAT) annual conference</t>
  </si>
  <si>
    <t>Paediatric Infection Prevention Improvement Network (PIPIN)</t>
  </si>
  <si>
    <t>British Society for Allergy and Clinical Immunology (BSACI) Conference</t>
  </si>
  <si>
    <t>Quaternary Immunology BMT unit placement</t>
  </si>
  <si>
    <t>UKPIN - Primary Immunodeficiency biannual meeting</t>
  </si>
  <si>
    <t>SPIN</t>
  </si>
  <si>
    <t xml:space="preserve">Paediatric Cardiology </t>
  </si>
  <si>
    <t>Paediatric Cardiology National Training Days</t>
  </si>
  <si>
    <t xml:space="preserve"> British Pharmacology Society Meetings</t>
  </si>
  <si>
    <t>Drug Safety Courses</t>
  </si>
  <si>
    <t xml:space="preserve"> European Society for Developmental Perinatal and Paediatric Pharmacology (ESDPPP) Conference</t>
  </si>
  <si>
    <t>Medication Related Hospital Admission (MRHA) Study Days</t>
  </si>
  <si>
    <t>National Poisons/Toxicology Study Days</t>
  </si>
  <si>
    <t>Paediatric Clinical Pharmacology Training day</t>
  </si>
  <si>
    <t>Pharmacokinetics/Pharmacodynamic Course</t>
  </si>
  <si>
    <t xml:space="preserve"> Association of Children’s Diabetes Clinicians (ACDC) Meeting</t>
  </si>
  <si>
    <t>GRID &amp; SPIN only.</t>
  </si>
  <si>
    <t>British Society for Paediatric Endocrinology and Diabetes (BSPED) Meeting</t>
  </si>
  <si>
    <t>European Society for Paediatric Endocrinology (ESPE) Summer School</t>
  </si>
  <si>
    <t>GRID only. Application through overseas process ensuring eligibility which will need NHSE approval. Discretionary if in UK or online</t>
  </si>
  <si>
    <t>Insulin Pump course</t>
  </si>
  <si>
    <t xml:space="preserve"> Association of Paediatric Emergency Medicine (APEM) Meetings</t>
  </si>
  <si>
    <t>Emergency Ear, nose, throat (ENT) Course</t>
  </si>
  <si>
    <t>Emergency Management of Severe Burns (EMSB)</t>
  </si>
  <si>
    <t xml:space="preserve"> </t>
  </si>
  <si>
    <t>This is not an overseas course</t>
  </si>
  <si>
    <t>Hand Injury Course</t>
  </si>
  <si>
    <t>Hospital Major Incident Medical Management and Support (HMIMMS) Course</t>
  </si>
  <si>
    <t xml:space="preserve">NEPTUNE-National Emergency Paediatric Trauma Update and Networking </t>
  </si>
  <si>
    <t>Paediatric Emergency Medicine training days</t>
  </si>
  <si>
    <t xml:space="preserve">Paediatric Trauma Resuscitation Course </t>
  </si>
  <si>
    <t>Point of Ultrasound Care (POCUS)</t>
  </si>
  <si>
    <t xml:space="preserve">PREMIER -Paediatric Regional Emergency Medicine Innovation, Education and Research Network </t>
  </si>
  <si>
    <t>Paediatric Epilepsy Training (PET) 1</t>
  </si>
  <si>
    <t>Paediatric Epilepsy Training (PET) 2</t>
  </si>
  <si>
    <t>Paediatric Epilepsy Training (PET) 3</t>
  </si>
  <si>
    <t>British Society of Paediatric Gastroenterology, Hepatology and Nutrition (BSPGHAN) Meeting.</t>
  </si>
  <si>
    <t>British Society of Paediatric Gastroenterology, Hepatology and Nutrition (BSPGHAN) Taster</t>
  </si>
  <si>
    <t xml:space="preserve"> Commonwealth Association of Paediatric Gastroenterology, Hepatology and Nutrition (CAPGAN) Conference</t>
  </si>
  <si>
    <t>European Society of Paediatric Gastroenterology, Hepatology and Nutrition (ESPGHAN) Course</t>
  </si>
  <si>
    <t>European Society of Paediatric Gastroenterology, Hepatology and Nutrition (ESPGHAN) Meeting</t>
  </si>
  <si>
    <t>Lower GI Endoscopy Course</t>
  </si>
  <si>
    <t>Upper GI endoscopy Course</t>
  </si>
  <si>
    <t>Extra Corporeal Membrane Oxygenation (ECMO) course</t>
  </si>
  <si>
    <t>Paediatric Intensive Care Medicine (PICM) masterclass</t>
  </si>
  <si>
    <t xml:space="preserve"> Point of Care Ultrasound (POCUS)</t>
  </si>
  <si>
    <t>British Association of Community Child Health (BACCH) Meeting</t>
  </si>
  <si>
    <t>British Academy of Childhood Disability (BACD) Conference</t>
  </si>
  <si>
    <t>Court Skills</t>
  </si>
  <si>
    <t xml:space="preserve">Effective Educational Supervision Course - RCPCH </t>
  </si>
  <si>
    <t>Mental Health / Autism/ADOS/Behavioural Assessment Course</t>
  </si>
  <si>
    <t>Safeguarding report writing</t>
  </si>
  <si>
    <t>British Paediatric Neurology Association - Acute Paediatric Neurology</t>
  </si>
  <si>
    <t>British Paediatric Neurology Association Annual conference</t>
  </si>
  <si>
    <t>British Paediatric Neurology Association -Approaching Children's Tone ACT</t>
  </si>
  <si>
    <t>British Paediatric Neurology Association - Children's Headache Training CHaT</t>
  </si>
  <si>
    <t>British Paediatric Neurology Association - Fetal Neurology</t>
  </si>
  <si>
    <t>British Paediatric Neurology Association -Movement Disorder Course movED</t>
  </si>
  <si>
    <t>British Paediatric Neurology Association - Neonatal Neurology NeoNATE</t>
  </si>
  <si>
    <t>Paediatric Epilepsy training 1, 2, 3 and 4ward. PET</t>
  </si>
  <si>
    <t>NeoNATE Course</t>
  </si>
  <si>
    <t>Paediatric Neurology trainees Meeting</t>
  </si>
  <si>
    <t>Paediatric Epilepsy Training 1, 2, 3 and PET4ward</t>
  </si>
  <si>
    <t>British Association of Paediatric Nephrology (BAPN) Meeting</t>
  </si>
  <si>
    <t>European Society of Paediatric Nephrology (ESPN) Meeting</t>
  </si>
  <si>
    <t xml:space="preserve"> International Paediatric Nephrology Association (IPNA) Meeting</t>
  </si>
  <si>
    <t xml:space="preserve"> British Paediatric Respiratory Society (BPRS) Meeting</t>
  </si>
  <si>
    <t>Bronchoscopy Course</t>
  </si>
  <si>
    <t>SPIN discretionary</t>
  </si>
  <si>
    <t xml:space="preserve"> Harmonised Education in Respiratory Medicine for European Specialists (HERMES)</t>
  </si>
  <si>
    <t>Advancing Paediatric Asthma Care Tier 4</t>
  </si>
  <si>
    <t>Respiratory GRID &amp; SPIN trainees only</t>
  </si>
  <si>
    <t>BSR Paediatric rheumatology annual meeting</t>
  </si>
  <si>
    <t>Rheumatology trainee meeting</t>
  </si>
  <si>
    <t>Rheumatology Update meeting</t>
  </si>
  <si>
    <t>A &amp; E Radiology Survival course</t>
  </si>
  <si>
    <t>Allergy Academy Training Day</t>
  </si>
  <si>
    <t>Paediatric Allergy SPIN.</t>
  </si>
  <si>
    <t>Annual  Royal College of Paediatrics and Child Health (RCPCH) conference</t>
  </si>
  <si>
    <t>Any course specifically recommended as a result of adverse ARCP Outcome</t>
  </si>
  <si>
    <t>Recommendation from ARCP panel</t>
  </si>
  <si>
    <t>Association of Paediatric Emergency Medicine (APEM) Meetings</t>
  </si>
  <si>
    <t>PEM Trainees essential. Gen Paeds discretionary</t>
  </si>
  <si>
    <t>APLS or Equivalent (renamed Advanced Paediatric Life Support (APLS) or European Paediatric Advanced Life Support (EPALS))</t>
  </si>
  <si>
    <t>Certification and recertification of APLS (or EPALS) is a mandatory annual requirement in Paediatrics for progression through the ARCP process. Initial course and recertification after 4 yrs are required to achieve satisfactory progression. See study leave guidance for Life Support Courses for funding allocation.</t>
  </si>
  <si>
    <t xml:space="preserve"> Association for Paediatric Palliative Medicine (APPM)  Meetings </t>
  </si>
  <si>
    <t xml:space="preserve">Palliative Medicine SPIN Trainees. </t>
  </si>
  <si>
    <t>Approaching Children's tone</t>
  </si>
  <si>
    <t>British Paediatric Neurology Association  2-day course</t>
  </si>
  <si>
    <t>Advanced Resuscitation of the Newborn Infant (ARNI) course</t>
  </si>
  <si>
    <t>Neonatal GRID &amp; SPIN trainees essential.  General Paediatrics discretionary</t>
  </si>
  <si>
    <t>Attendance in a presenter role at a conference</t>
  </si>
  <si>
    <t>Bereavement / Palliative Care/ End of Life Course</t>
  </si>
  <si>
    <t xml:space="preserve">British Paediatric Allergy, Immunity and Infection Group (BPAIIG)  Meetings </t>
  </si>
  <si>
    <t>Spin Trainees.</t>
  </si>
  <si>
    <t>Cardiology SPIN (Special Interest) – Echocardiography Course</t>
  </si>
  <si>
    <t>Cardiology SPIN</t>
  </si>
  <si>
    <t>CHaT (children's headache training) course British Paediatric Neurology Association (BPNA)</t>
  </si>
  <si>
    <t>Child Protection E-Learning</t>
  </si>
  <si>
    <t>Child Protection Level 2 safeguarding training</t>
  </si>
  <si>
    <t>Mandatory annual requirement in Paediatrics for progression through the ARCP process.</t>
  </si>
  <si>
    <t xml:space="preserve">Child Protection Level 3 safeguarding training </t>
  </si>
  <si>
    <t>Child Protection Recognition &amp; Response (CPRR)(or equivalent Level 1 training)</t>
  </si>
  <si>
    <t xml:space="preserve">Course related to skills needed for subspecialty eg Neonatal Ventilation, Bronchoscopy Course, Trauma Course, Endoscopy Course etc </t>
  </si>
  <si>
    <t xml:space="preserve">Mandatory for Grid Trainees and Desirable for SPIN trainees in the Relevant Subspecialty. </t>
  </si>
  <si>
    <t>Critical Appraisal Workshop</t>
  </si>
  <si>
    <t>European Society of Paediatric Gastroenterology, Hepatology
and Nutrition (ESPGHAN) - Paediatric Hepatology, Gastroenterology &amp; Nutrition Meetings</t>
  </si>
  <si>
    <t>Gastroenterology SPIN – Endoscopy Course</t>
  </si>
  <si>
    <t>Generic Instructor Course (APLS or NLS)</t>
  </si>
  <si>
    <t>GRID - College Specialty Advisory Committee (CSAC) sub-specialty training day</t>
  </si>
  <si>
    <t>GRID Cardiology – Echocardiography Course</t>
  </si>
  <si>
    <t xml:space="preserve">GRID Community Child Health (CCH) Standardised Development Course (range available) </t>
  </si>
  <si>
    <t>GRID Community – Adoption and Fostering Course</t>
  </si>
  <si>
    <t>GRID Community – BACCH &amp; or BACD British Association of Community Child Health
British Association of Childhood Disability</t>
  </si>
  <si>
    <t>GRID Community – Child Development Course</t>
  </si>
  <si>
    <t>GRID Community – Vision or Hearing Impairment Course</t>
  </si>
  <si>
    <t xml:space="preserve">GRID CSAC approved sub-specialty meeting </t>
  </si>
  <si>
    <t>GRID Endocrinology – Insulin Pump Course</t>
  </si>
  <si>
    <t>GRID Gastroenterology – Endoscopy course</t>
  </si>
  <si>
    <t>GRID Neonates -  British Association of Perinatal Medicine (BAPM) Conference</t>
  </si>
  <si>
    <t>GRID Neonates – Cranial Ultrasound</t>
  </si>
  <si>
    <t xml:space="preserve">GRID PICM - Paediatric. Intensive Care Medicine (PICS) Masterclass </t>
  </si>
  <si>
    <t>GRID Paediatric. Intensive Care Medicine (PICM) – Trauma Course</t>
  </si>
  <si>
    <t>GRID Respiratory – Bronchoscopy Course</t>
  </si>
  <si>
    <t xml:space="preserve">GRID Rheumatology  Sub-Specialty Course </t>
  </si>
  <si>
    <t>How to manage diabetes in children</t>
  </si>
  <si>
    <t>ICH GCP  International Council for Harmonisation 
Good Clinical Practice</t>
  </si>
  <si>
    <t xml:space="preserve"> International Society for Magnetic Resonance in Medicine (ISMRM) conference</t>
  </si>
  <si>
    <t xml:space="preserve"> Multidisciplinary Approach to End of Life Care (MAPLE)</t>
  </si>
  <si>
    <t xml:space="preserve">Neonatal Cranial Ultrasound Course </t>
  </si>
  <si>
    <t>Neonatal grid and SPIN trainees.</t>
  </si>
  <si>
    <t>Neonatal Intubation/Difficult Airway</t>
  </si>
  <si>
    <t>Neonatal Neurology Conference (Luton)</t>
  </si>
  <si>
    <t>Neonatal or Paediatric Transport Course</t>
  </si>
  <si>
    <t>Essential Neonatal or PICM GRID. Discretionary otherwise.</t>
  </si>
  <si>
    <t>Neonatal Society Meetings</t>
  </si>
  <si>
    <t>Neonatal Update (Imperial)</t>
  </si>
  <si>
    <t>Newborn Life Support (NLS) (or equivalent)</t>
  </si>
  <si>
    <t xml:space="preserve">Certification and recertification of NLS is a mandatory annual requirement in Paediatrics for progression through the ARCP process. Initial course and recertification after 4 yrs are required to achieve satisfactory progression. See study leave guidance for Life Support Courses for funding allocation. </t>
  </si>
  <si>
    <t>Paediatric Allergy Training (PAT) 1</t>
  </si>
  <si>
    <t>Paediatric Allergy Training (PAT) 2</t>
  </si>
  <si>
    <t>Paediatric Allergy Training (PAT) 3</t>
  </si>
  <si>
    <t>Paediatric Educators Special Interest Group (PEDSIG) Meetings</t>
  </si>
  <si>
    <t>Respiratory GRID &amp; SPIN Trainees essential. Discretionary otherwise</t>
  </si>
  <si>
    <t xml:space="preserve">Paediatric Epilepsy Training (PET) Course 1 </t>
  </si>
  <si>
    <t>GRID Neurology and SPIN epilepsy essential. Discretionary otherwise</t>
  </si>
  <si>
    <t>Paediatric Epilepsy training (PET) Course 2</t>
  </si>
  <si>
    <t>Paediatric Epilepsy Training (PET) Course 3</t>
  </si>
  <si>
    <t>Paediatric ICU/HDU Course</t>
  </si>
  <si>
    <t>Paediatric Neurology Distance Learning Course</t>
  </si>
  <si>
    <t>Neurology grid trainees only.</t>
  </si>
  <si>
    <t>Paediatric Research Regional Meetings</t>
  </si>
  <si>
    <t>Paediatric Research Society Meetings</t>
  </si>
  <si>
    <t xml:space="preserve"> Paediatric Epilepsy Training
Electroencephalogram (PET-EEG)</t>
  </si>
  <si>
    <t>SPIN Epilepsy &amp; Neurology Trainees.</t>
  </si>
  <si>
    <t>Paediatric Intensive Care Society (PICS)  Meetings</t>
  </si>
  <si>
    <t>National Grid &amp; SPIN Trainees only</t>
  </si>
  <si>
    <t>Royal College of Paediatrics and Child Health (RCPCH) "How to Manage" series such as How to manage diabetes</t>
  </si>
  <si>
    <t>To include but limited to : RCPCH - How to manage Paediatric sepsis, RCPCH - How to manage refugee and asylum seeking children and young people, RCPCH – How to manage eating disorders, RCPCH – How to manage diabetes, RCPCH – How to manage common dermatology</t>
  </si>
  <si>
    <t>Regional Simulation Training Day/Course</t>
  </si>
  <si>
    <t>All trainees expected to attend at least 2 days in their training (split between 2 different levels).</t>
  </si>
  <si>
    <t>Respiratory Paediatrics Course</t>
  </si>
  <si>
    <t>Respiratory Grid &amp; SPIN Trainees.</t>
  </si>
  <si>
    <t>Respiratory SPIN - Bronchoscopy Course</t>
  </si>
  <si>
    <t>Return to Practice Simulation Day &amp; Theory Day</t>
  </si>
  <si>
    <t>Simulation Course - Sudden Unexpected Death in Infancy SUDI</t>
  </si>
  <si>
    <t>Simulation Leader training</t>
  </si>
  <si>
    <t xml:space="preserve"> International Society for Paediatric Oncology (SIOP) - Europe BTG Neuro-Oncology course</t>
  </si>
  <si>
    <t xml:space="preserve"> International Society for Paediatric Oncology (SIOP) Europe course in Paediatric Oncology</t>
  </si>
  <si>
    <t>Generic Instructor Course (GIC)</t>
  </si>
  <si>
    <t>Paediatric Update for Paediatricians | Royal London Paediatric Courses</t>
  </si>
  <si>
    <t>Advancing Paediatric Asthma Care Tier 3</t>
  </si>
  <si>
    <t>Online course</t>
  </si>
  <si>
    <t xml:space="preserve">Communciation Skills Course </t>
  </si>
  <si>
    <t>Regional course delivered by Palliative Care team</t>
  </si>
  <si>
    <t>Difficult Vascular Access for Children (DVAC) - Bristol</t>
  </si>
  <si>
    <t>Paedaitric Oncology</t>
  </si>
  <si>
    <t>The Children &amp; Young People's Cancer Association (CCLG) Annual Conference</t>
  </si>
  <si>
    <t>GRID &amp; SPIN trainees</t>
  </si>
  <si>
    <t>Paediatric Oncology</t>
  </si>
  <si>
    <t>Paediatric Oncology Training Group (POTG) annual Training Day</t>
  </si>
  <si>
    <t>GRID and SPIN trainees</t>
  </si>
  <si>
    <t>Returned</t>
  </si>
  <si>
    <t>Basic Clinical Laboratory Skills &amp; Techniques Course</t>
  </si>
  <si>
    <t>BRS (Bone Research Society) Oxford clinical training course in Osteoporosis and other Metabolic Bone diseases</t>
  </si>
  <si>
    <t>Course in Human Nutrition</t>
  </si>
  <si>
    <t>Heart UK Annual Scientific conference</t>
  </si>
  <si>
    <t>Metabolic Training Days: Adult &amp; Paediatric IEM (Inborn errors of metabolism) days</t>
  </si>
  <si>
    <t>Nutrition Training Day</t>
  </si>
  <si>
    <t>Orphan - Europe Metabolic Course</t>
  </si>
  <si>
    <t>Europe wide but available online. If attending in person, please read the overseas sections within the study leave guidance for more information.</t>
  </si>
  <si>
    <t>Chemical Pathology/Metabolic Medicine</t>
  </si>
  <si>
    <t>Basic Clinical Laboratory Skills &amp; Techniques Courses</t>
  </si>
  <si>
    <t>Bristish Endocrine Society</t>
  </si>
  <si>
    <t>Course in Human Nutrition Pu-R-13-Ch-0832</t>
  </si>
  <si>
    <t>Diabetes UK</t>
  </si>
  <si>
    <t>IMD (Inborn Metabolic Disease) Training Days: Adult &amp; Paediatric</t>
  </si>
  <si>
    <t>LabMedUK Annual Scientific Meeting of the Association of Laboratory Medicine</t>
  </si>
  <si>
    <t>PATH014.O</t>
  </si>
  <si>
    <t>Imperial Cardiometabolic Symposium, Hammersmith Hospital</t>
  </si>
  <si>
    <t>Inaugural Imperial Cardiometabolic Symposium</t>
  </si>
  <si>
    <t>Association of Clinical Pathologists (ACP) Lab management course </t>
  </si>
  <si>
    <t xml:space="preserve">Association of Clinical Pathologists (ACP) 3 day management course </t>
  </si>
  <si>
    <t>British Association in Forensic Medicine (BAFM) Summer Meeting</t>
  </si>
  <si>
    <t xml:space="preserve">British Association of Urological Pathologists (BAUP) urological pathology seminars </t>
  </si>
  <si>
    <t>British Division of the International Academy of Pathology (BDIAP) ‘Cut-up’ Study Day</t>
  </si>
  <si>
    <t>Annual Event.</t>
  </si>
  <si>
    <t>British Division of the International Academy of Pathology (BDIAP) molecular study day</t>
  </si>
  <si>
    <t xml:space="preserve">Birmingham part two cytology week preparation course </t>
  </si>
  <si>
    <t>British Association in Forensic Medicine Conferences</t>
  </si>
  <si>
    <t>Cytology Course (Gynae)</t>
  </si>
  <si>
    <t>Cytology Course (Non-Gynae)</t>
  </si>
  <si>
    <t xml:space="preserve">EoE Non-gynae cytology </t>
  </si>
  <si>
    <t xml:space="preserve">Gloucestershire GI course </t>
  </si>
  <si>
    <t>Harlow part two preparation course</t>
  </si>
  <si>
    <t>Liver pathology course organised by Royal College of Pathologists</t>
  </si>
  <si>
    <t>Manchester part two preparation course</t>
  </si>
  <si>
    <t>Mary Sheppard's Cardiology course</t>
  </si>
  <si>
    <t>Molecular Pathology Course</t>
  </si>
  <si>
    <t>Northwick Park cytology course</t>
  </si>
  <si>
    <t>Nottingham Part 2 course</t>
  </si>
  <si>
    <t>Oxford part two preparation course</t>
  </si>
  <si>
    <t>This course will need HoS approval as is over 4 days</t>
  </si>
  <si>
    <t>Pathsoc Winter School</t>
  </si>
  <si>
    <t>Practical Pulmonary Pathology</t>
  </si>
  <si>
    <t>In Stage D if there is special interest.</t>
  </si>
  <si>
    <t>RCPath Welcome Day</t>
  </si>
  <si>
    <t>RSM/Royal College/BDIAP/ACP Days</t>
  </si>
  <si>
    <t>The Diagnexia Histopathology Symposium</t>
  </si>
  <si>
    <t>The Nottingham three day molecular pathology course</t>
  </si>
  <si>
    <t>The Wellcome Trust / RCPath Molecular Pathology and diagnosis of cancer advanced course</t>
  </si>
  <si>
    <t>Update Course/Sub-specialty Meeting/Subspecialty Training Day(s)</t>
  </si>
  <si>
    <t>Workplace-Based Assessment Course</t>
  </si>
  <si>
    <t>Medical microbiology/CIT</t>
  </si>
  <si>
    <t>Royal College of Physicians of Edinburgh (RCPE) TB Update</t>
  </si>
  <si>
    <t xml:space="preserve">Medical Microbiology </t>
  </si>
  <si>
    <t>Anaerobe Reference Unit (ARU) Anaerobes course in Cardiff</t>
  </si>
  <si>
    <t>British Infection Association (BIA) Spring Meeting *</t>
  </si>
  <si>
    <t xml:space="preserve">*Suggest 1 funded UK meeting a year if presenting </t>
  </si>
  <si>
    <t>British Society for Antimicrobial Chemotherapy (BSAC) Conference  *</t>
  </si>
  <si>
    <t>British Society for Antimicrobial Chemotherapy (BSAC) online OPAT course</t>
  </si>
  <si>
    <t>Online only and good value (£79)</t>
  </si>
  <si>
    <t xml:space="preserve">British Society for Antimicrobial Chemotherapy (BSAC) workshops </t>
  </si>
  <si>
    <t>Cardiff antimicrobial sensitivity course</t>
  </si>
  <si>
    <t xml:space="preserve">European Society of Clinical Microbiology and Infectious Diseases (ECCMID / ESCMID Global) </t>
  </si>
  <si>
    <t>Once in the 4-5 year scheme. Please read the overseas sections within the study leave guidance for more information.</t>
  </si>
  <si>
    <t>Federation of Infection Societies (FIS) Conference  *</t>
  </si>
  <si>
    <t>Healthcare Infection Society (HIS) conference*</t>
  </si>
  <si>
    <t xml:space="preserve">Healthcare Infection Society (HIS) Infection control course </t>
  </si>
  <si>
    <t>Healthcare Infection Society (HIS) trainee days</t>
  </si>
  <si>
    <t>Mycology Workshop or GAIN mycology conference </t>
  </si>
  <si>
    <t>RCPath or RIPL accredited  Educational Meetings</t>
  </si>
  <si>
    <t>Welsh microbiology association meetings </t>
  </si>
  <si>
    <t>British Infection Association (BIA) Meeting</t>
  </si>
  <si>
    <t>British Infection Association (BIA) Trainee Day</t>
  </si>
  <si>
    <t>British Infection Association (BIA) Training Event</t>
  </si>
  <si>
    <t>British Society for Antimicrobial Chemotherapy (BSAC) Training Event/Workshop</t>
  </si>
  <si>
    <t>British Society for Antimicrobial Chemotherapy (BSAC) Workshop</t>
  </si>
  <si>
    <t>Foundation Hospital Infection Control Course</t>
  </si>
  <si>
    <t>Healthcare Infection Society (HIS) Training Event</t>
  </si>
  <si>
    <t>HIV Trainee Club Days</t>
  </si>
  <si>
    <t>Laboratory Diagnosis Of Blood &amp; Faecal Parasites</t>
  </si>
  <si>
    <t>Molecular Diagnostics Course</t>
  </si>
  <si>
    <t>Mycology Workshop</t>
  </si>
  <si>
    <t>Parasitology Workshop</t>
  </si>
  <si>
    <t>BNOS (british neurooncology society)</t>
  </si>
  <si>
    <t>clinical tumour based session which covers curriculum requirements for neuro clinical hours</t>
  </si>
  <si>
    <t>British Neuropathological Society Annual Meeting</t>
  </si>
  <si>
    <t>British Neuropathological Society (BNS) Summer School</t>
  </si>
  <si>
    <t>British Neuropathological Society (BNS) Annual Winter Meeting</t>
  </si>
  <si>
    <t>Local/national meeting covering key issues in neuropathology in the UK</t>
  </si>
  <si>
    <t>European University Professors of Ophthalmology (EUPO) opthalmology course</t>
  </si>
  <si>
    <t>other</t>
  </si>
  <si>
    <t>covers an area of the curriculum NOT able to be covered locally. Application through overseas process ensuring eligibility which will need NHSE approval. Essential if in UK or online</t>
  </si>
  <si>
    <t>Euro Confederation of Neuropathological Societies (Euro-CNS ) courses</t>
  </si>
  <si>
    <t>Application through overseas process ensuring eligibility which will need NHSE approval. Essential if in UK or online</t>
  </si>
  <si>
    <t>EuroCNS brain courses: Basic course in neuropathology</t>
  </si>
  <si>
    <t>covers curriculum requirements for CST trainees. Application through overseas process ensuring eligibility which will need NHSE approval. Essential if in UK or online</t>
  </si>
  <si>
    <t>EuroCNS brain courses: Developmental neuropathology</t>
  </si>
  <si>
    <t>May be required for the curriculum to achieve certain competencies that are difficult to meet otherwise. Application through overseas process ensuring eligibility which will need NHSE approval. Essential if in UK or online</t>
  </si>
  <si>
    <t>EuroCNS brain courses: Forensic neuropathology</t>
  </si>
  <si>
    <t>EuroCNS brain courses: Leukoencephalopathies</t>
  </si>
  <si>
    <t>EuroCNS brain courses: Muscle &amp; nerve pathology</t>
  </si>
  <si>
    <t>EuroCNS brain courses: Neurodegenerative disease</t>
  </si>
  <si>
    <t>EuroCNS brain courses: Tumours of the CNS</t>
  </si>
  <si>
    <t>International congress of neuropathology (ICN) virtual attendence</t>
  </si>
  <si>
    <t>Virtual attendence fees will be covered as Essential. HoS approval needed if attending in person, application through overseas process ensuring eligibility which will need NHSE approval if in person.</t>
  </si>
  <si>
    <t>RCPath Educational Days</t>
  </si>
  <si>
    <t>Hands on Cardiac Morphology Course (UCL)</t>
  </si>
  <si>
    <t>3 day course.</t>
  </si>
  <si>
    <t>Adult safeguarding level 3</t>
  </si>
  <si>
    <t>Basic Life Support to include adult and child and Automated External Defibrillator Training</t>
  </si>
  <si>
    <t>Child safeguarding level 3</t>
  </si>
  <si>
    <t xml:space="preserve">Dermoscopy: Basic level GP relevant course, without cost of equipment. </t>
  </si>
  <si>
    <t>General Practice/ Primary Care Conferences such as Royal College of General Practitioners Conference</t>
  </si>
  <si>
    <t>Attendance for trainee presenting a session or poster at General Practice/ Primary Care Conferences such as Royal College of General Practitioners Conference</t>
  </si>
  <si>
    <t>General update courses 1 per trainee during training, usually in ST2/3</t>
  </si>
  <si>
    <t>Joint injection: basic level GP appropriate course</t>
  </si>
  <si>
    <t>Usually at latter stage of training unless AD discretion</t>
  </si>
  <si>
    <t>Minor Surgery: basic level GP appropriate course</t>
  </si>
  <si>
    <t>For trainees doing a dermatology post, subject to good clinical progression at discretion of Associate Dean, may be approved in ST1/2.For for all other trainees, usually only at the latter stage of training but can be approved at discretion of AD on a case-by-case basis</t>
  </si>
  <si>
    <t>Non-GP Conferences, which are of relevance to Primary Care</t>
  </si>
  <si>
    <t>One day, knowledge based update courses related to single area of Royal College of General Practitioners curriculum; 2 per trainee per annum</t>
  </si>
  <si>
    <t>Package of Update and single curriculum courses</t>
  </si>
  <si>
    <t>Pre-deployment course for Global Health Fellowship trainees</t>
  </si>
  <si>
    <t>Royal College of General Practitioners Faculty Applied Knowledge Test preparation course</t>
  </si>
  <si>
    <t>Royal College of General Practitioners Faculty Simulated Consultation Assessment preparation course</t>
  </si>
  <si>
    <t>Severn/Peninsula Royal College of General Practitioners or NHS England SouthWest Careers fairs ; once during training</t>
  </si>
  <si>
    <r>
      <rPr>
        <sz val="11"/>
        <color rgb="FF000000"/>
        <rFont val="Aptos Narrow"/>
        <family val="2"/>
        <scheme val="minor"/>
      </rPr>
      <t xml:space="preserve">Skills training </t>
    </r>
    <r>
      <rPr>
        <b/>
        <u/>
        <sz val="11"/>
        <color rgb="FF000000"/>
        <rFont val="Aptos Narrow"/>
        <family val="2"/>
        <scheme val="minor"/>
      </rPr>
      <t>ONLY</t>
    </r>
    <r>
      <rPr>
        <sz val="11"/>
        <color rgb="FF000000"/>
        <rFont val="Aptos Narrow"/>
        <family val="2"/>
        <scheme val="minor"/>
      </rPr>
      <t xml:space="preserve"> within Diploma of Faculty of Sexual and Reproductive Healthcare</t>
    </r>
  </si>
  <si>
    <r>
      <rPr>
        <sz val="11"/>
        <color rgb="FF000000"/>
        <rFont val="Aptos Narrow"/>
        <family val="2"/>
        <scheme val="minor"/>
      </rPr>
      <t xml:space="preserve">Usually  taken at latter stage of training. This is for the Skills training </t>
    </r>
    <r>
      <rPr>
        <b/>
        <sz val="11"/>
        <color rgb="FF000000"/>
        <rFont val="Aptos Narrow"/>
        <family val="2"/>
        <scheme val="minor"/>
      </rPr>
      <t>ONLY</t>
    </r>
    <r>
      <rPr>
        <sz val="11"/>
        <color rgb="FF000000"/>
        <rFont val="Aptos Narrow"/>
        <family val="2"/>
        <scheme val="minor"/>
      </rPr>
      <t xml:space="preserve">. This </t>
    </r>
    <r>
      <rPr>
        <b/>
        <sz val="11"/>
        <color rgb="FF000000"/>
        <rFont val="Aptos Narrow"/>
        <family val="2"/>
        <scheme val="minor"/>
      </rPr>
      <t>IS NOT</t>
    </r>
    <r>
      <rPr>
        <sz val="11"/>
        <color rgb="FF000000"/>
        <rFont val="Aptos Narrow"/>
        <family val="2"/>
        <scheme val="minor"/>
      </rPr>
      <t xml:space="preserve"> the Diploma enrolment/assessment/membership and Letter of competence Implants/Intrauterine techniques online theory assessment and registration fee.</t>
    </r>
  </si>
  <si>
    <t>South West Primary Care Schools Health Equity focused Training (HEFT) events. For HEFT trainees only</t>
  </si>
  <si>
    <t>3 afternoons, 2 whole-day per year for trainees on HEFT programme only. HEFT trainees will receive priority for S/L for SW HEFT teaching programme events.  GRPs who are not on HEFT programmes, can be supported with S/L to attend subject to capacity at the HEFT teaching session and local AD agreement</t>
  </si>
  <si>
    <t>Autism Diagnostic Observation Schedule (ADOS) and/or Autism Diagnostic Interview (ADI) / Diagnostic Interview for Social and Communication Disorders (DISCO) / Developmental, Dimensional and Diagnostic Interview (3Di) or equivalent</t>
  </si>
  <si>
    <t>These are included in ILO 13 of the curriculum which is a selective ILO. These would be mandatory if trainees want to complete this ILO. 80% of selective ILO's are needed for CCT. If trainees not pursuing this ILO then these are enhanced knowledge.</t>
  </si>
  <si>
    <t>Approved clinician (AC) induction training</t>
  </si>
  <si>
    <t>AC status is essential for preparing for consultant clinical practice</t>
  </si>
  <si>
    <t xml:space="preserve">British Association for Psychopharmacology (BAP) or equivalent Paediatric Psychopharmacology Course </t>
  </si>
  <si>
    <t>Sound knowledge base for prescribing is essential</t>
  </si>
  <si>
    <t>Complaints / Root Cause Analysis (RCA) training</t>
  </si>
  <si>
    <t>Courses on how to adapt therapies to children with specific developmental disorders such as ADHD or ASC</t>
  </si>
  <si>
    <t>Must be able to adapt therapeutic approaches to specific patient groups</t>
  </si>
  <si>
    <t>International Congress</t>
  </si>
  <si>
    <t>Application through overseas process ensuring eligibility which will need NHSE approval. Essential if in UK</t>
  </si>
  <si>
    <t>Preparation for Court courses</t>
  </si>
  <si>
    <t xml:space="preserve">RCPsych CAMHS Trainees Conference </t>
  </si>
  <si>
    <t>The curriculum specifies that study time must be used to extend knowledge and skills through attending external courses and conferences. One conference a year will be supported as Essential. Additional conferences are Discretionary.</t>
  </si>
  <si>
    <t xml:space="preserve">RCPsych Child and Adolescent Faculty Meeting and RCPsych Annual Meeting  </t>
  </si>
  <si>
    <t>RCPsych SW Division biannual meetings</t>
  </si>
  <si>
    <t>Research (qualitative or quantative) related course / workshop</t>
  </si>
  <si>
    <t>Section 12 approval and/or refresher</t>
  </si>
  <si>
    <t>Section 12 approval if not attained in CT3, refresher training needed every 5 years.</t>
  </si>
  <si>
    <t>Schedules for Clinical Assessment in Neuropsychiatry (SCAN) Course</t>
  </si>
  <si>
    <t>Once during core or higher training. Funded 100%</t>
  </si>
  <si>
    <t>RCPsych International Congress (once during training)</t>
  </si>
  <si>
    <t>Once during core training. Funded 100%</t>
  </si>
  <si>
    <t>RCPsych SW division biannual meetings</t>
  </si>
  <si>
    <t>One biannual RCPsych SW division meeting attendance a year to learn core key knowledge, develop life-long learning skills, present posters, network etc. Funded 100%</t>
  </si>
  <si>
    <t>Section 12 Approval</t>
  </si>
  <si>
    <t>S12 Approval is a requirement for advanced training</t>
  </si>
  <si>
    <t>Clinical Assessment of Skills and Competencies (CASC) exam preparation course (RCPsych masterclass or other)</t>
  </si>
  <si>
    <t>Essential for residents following a CASC exam failure. Please read the Exam Preparation/Revision Courses (Including Question Banks) section within the study leave guidance.</t>
  </si>
  <si>
    <t>British Association for Psychopharmacology (BAP) course</t>
  </si>
  <si>
    <t>Clinical Investigation / Root Cause Analysis (RCA) Training</t>
  </si>
  <si>
    <t>Once during training</t>
  </si>
  <si>
    <t>Forensic Faculty Meeting (RCPsych)</t>
  </si>
  <si>
    <t>Historical–Clinical–Risk Management‑20 (HCR-20) /Structured Assessment of Protective Factors (SAPROF) Risk Assessment Training</t>
  </si>
  <si>
    <t>Application through overseas process ensuring eligibility which will need NHSE approval. If in the UK, Essential</t>
  </si>
  <si>
    <t>Medico-legal Skills (eg Bond Solon course)</t>
  </si>
  <si>
    <t>Once during training. NHSE will fund the full cost of course fees</t>
  </si>
  <si>
    <t>Other faculty conference eg LD/CAMHS</t>
  </si>
  <si>
    <t>Psychopathy Checklist-Revised (PCL-R) / sub specialist risk assessment training</t>
  </si>
  <si>
    <t>Once during training. NHSE will fund the full cost of course fees.</t>
  </si>
  <si>
    <t>Personality Disorders Training</t>
  </si>
  <si>
    <t>Psychotherapy / model of care training</t>
  </si>
  <si>
    <t>Root Cause Analysis (RCA) / complaints training</t>
  </si>
  <si>
    <t>essential management skill training</t>
  </si>
  <si>
    <t>One biannual RCPsych SW division meeting attendance a year The curriculum specifies that study time must be used to extend knowledge and skills through attending external courses and conferences.</t>
  </si>
  <si>
    <t>Section 12 approval and / or refresher</t>
  </si>
  <si>
    <t>Stalking Risk Profile</t>
  </si>
  <si>
    <t>Trauma Informed Care</t>
  </si>
  <si>
    <t>Adventure Mind Conference</t>
  </si>
  <si>
    <t>Comprehensive Assessment of At-Risk Mental States (CAARMS) training</t>
  </si>
  <si>
    <t>required for curriculum competencies in psychosis</t>
  </si>
  <si>
    <t>Deprivation of Liberty Safeguards (DoLS) Training</t>
  </si>
  <si>
    <t>RCPsych Faculty conference and annual meeting</t>
  </si>
  <si>
    <t>annually. One conference a year will be supported as Essential. Additional conferences are Discretionary.</t>
  </si>
  <si>
    <t>RCPsych International Congress</t>
  </si>
  <si>
    <t>The curriculum specifies that study time must be used to extend knowledge and skills through attending external courses and conferences. One conference a year will be supported as Essential. Additional conferences are Discretionary. Funded 100%</t>
  </si>
  <si>
    <t>Risk Assessment Training (eg HCR 20)</t>
  </si>
  <si>
    <t>Training in Adult ADHD (e.g. two-day course run by UKAAN - UK Adult ADHD Network)</t>
  </si>
  <si>
    <t>required for curriculum competencies in adult adhd</t>
  </si>
  <si>
    <t>Training in eating disorders such as College annual conference or Education Training Network one day course</t>
  </si>
  <si>
    <t>required for curriculum competencies in eating disorders</t>
  </si>
  <si>
    <t>Neuropsychiatry course (e.g. British Neuropsychiatry Association)</t>
  </si>
  <si>
    <t>required for curriculum competencies in neuropsychiatry</t>
  </si>
  <si>
    <t xml:space="preserve">Forensic Psychotherapy Supervision Of Clinical Work </t>
  </si>
  <si>
    <t>Mentalization Based Treament Basic and Practitioner training</t>
  </si>
  <si>
    <t>One college conference supported per year. NHSE will fund the full cost of course fees</t>
  </si>
  <si>
    <t>Royal College International Congress</t>
  </si>
  <si>
    <t>Once during training. If not in UK, overseas guidance applies</t>
  </si>
  <si>
    <t xml:space="preserve">Speciality specific RCPsych conference </t>
  </si>
  <si>
    <t>One college conference supported per year</t>
  </si>
  <si>
    <t>Approved Clinician (AC) Induction training</t>
  </si>
  <si>
    <t>Care of the elderly (Geriatric Medicine) related CPD events / Conferences/ courses</t>
  </si>
  <si>
    <t>Dementia CPD/courses/conferences</t>
  </si>
  <si>
    <t>International congress (once during training)</t>
  </si>
  <si>
    <t>National conferences essential for future specialism</t>
  </si>
  <si>
    <t>Essential knowledge. One conference a year will be supported as Essential. Additional conferences are Discretionary.</t>
  </si>
  <si>
    <t>Neurology ( Parkinson's disorder, Huntington's, Strokes, epilepsy...) CPD events/Conferences/courses.</t>
  </si>
  <si>
    <t>Neuro-radiology courses related to Brain scans and imaging. </t>
  </si>
  <si>
    <t>Old age faculty conferences</t>
  </si>
  <si>
    <t>One conference a year will be supported as Essential. Additional conferences are Discretionary.</t>
  </si>
  <si>
    <t>One college conference per year</t>
  </si>
  <si>
    <t>Once during training. Curriculum requirement for research activity.</t>
  </si>
  <si>
    <t>Serious Untoward Incident Analysis / Root Cause Analysis</t>
  </si>
  <si>
    <t>Autism Diagnostic Observation Schedule (ADOS) and/or Autism Diagnostic Interview (ADI) / Diagnostic Interview for Social and Communication Disorders (DISCO) / Developmental, Dimensional and Diagnostic Interview (3Di)</t>
  </si>
  <si>
    <t>Essential to do one course during training</t>
  </si>
  <si>
    <t>Bristol Learning Disabilities (LD) Conference</t>
  </si>
  <si>
    <t>Epilepsy training workshops / conferences</t>
  </si>
  <si>
    <t>Essential knowledge for specialty</t>
  </si>
  <si>
    <t>Historical Clinical Risk Management-20 (HCR-20) (when doing Forensic posts)</t>
  </si>
  <si>
    <t>Essential to build forensic Intellectual Disability curriculum requirements</t>
  </si>
  <si>
    <t>National Learning Disabilities (LD) Trainee conference</t>
  </si>
  <si>
    <t>Other RCPsych Conferences</t>
  </si>
  <si>
    <t>Essential management skill training</t>
  </si>
  <si>
    <t>RCPsych Annual Congress (only once during training)</t>
  </si>
  <si>
    <t>RCPsych College Special Interest Group (SIG) Conferences</t>
  </si>
  <si>
    <t>One conference a year will be supported as Essential. Additional conferences are Discretionary.
Need more info</t>
  </si>
  <si>
    <t>The curriculum specifies that study time must be used to extend knowledge and skills through attending external courses and conferences.</t>
  </si>
  <si>
    <t>APLS/PILS</t>
  </si>
  <si>
    <t xml:space="preserve">Only for Paediatric Cardiac Surgeons. </t>
  </si>
  <si>
    <t>ATLS or Approved Equivalent</t>
  </si>
  <si>
    <t xml:space="preserve"> Equivalent includes European Trauma Course (ETC) and approved locally delivered trauma courses.</t>
  </si>
  <si>
    <t>Cadaveric Aortic Surgery Course</t>
  </si>
  <si>
    <t>Cadaveric Mitral Surgery Course</t>
  </si>
  <si>
    <t>Cadaveric VATS Lobectomy Course</t>
  </si>
  <si>
    <t>Cardiothoracic Boot Camp Enhanced Induction</t>
  </si>
  <si>
    <t xml:space="preserve">Care of the Critically Ill Surgical Patient (CCrISP) </t>
  </si>
  <si>
    <t>DSTS®/DSTC®/DCOTS®</t>
  </si>
  <si>
    <t>European Association for Cardio-Thoracic Surgery (EACTS) Academy</t>
  </si>
  <si>
    <t>Good Clinical Practice</t>
  </si>
  <si>
    <t>NOTTS Non operative technical skills course</t>
  </si>
  <si>
    <t>RCS (Eng) Courses in Cardiac or Thoracic Surgery At Basic, Intermediate &amp; Advanced Level</t>
  </si>
  <si>
    <t xml:space="preserve">Society for Cardiothoracic Surgery (SCTS) Access &amp; Bypass </t>
  </si>
  <si>
    <t>Society for Cardiothoracic Surgery (SCTS) Cardiac &amp; Thoracic Subspecialty Course</t>
  </si>
  <si>
    <t xml:space="preserve">Society for Cardiothoracic Surgery (SCTS) Core Cardiac Surgery </t>
  </si>
  <si>
    <t xml:space="preserve">Society for Cardiothoracic Surgery (SCTS) Core Thoracic Surgery </t>
  </si>
  <si>
    <t>Society for Cardiothoracic Surgery (SCTS) Essentials in Cardiothoracic Surgery</t>
  </si>
  <si>
    <t xml:space="preserve">Society for Cardiothoracic Surgery (SCTS) Introduction to Cardiothoracic Surgery </t>
  </si>
  <si>
    <t>Society for Cardiothoracic Surgery (SCTS) National Research Meeting</t>
  </si>
  <si>
    <t>Anastomosis course</t>
  </si>
  <si>
    <t>All new CST trainees must attend, part of Peninsula Regional Teaching programme</t>
  </si>
  <si>
    <t>AO Trauma Blended Course</t>
  </si>
  <si>
    <t>Funding for APLs will be supported for those trainees that are rotating into CST Paediatric Surgery posts or who are pursuing a career at ST3 in Paediatric Surgery</t>
  </si>
  <si>
    <t>Advanced Trauma Life Support (ATLS) or Approved Equivalent</t>
  </si>
  <si>
    <t>Equivalent includes European Trauma Course (ETC) and approved locally delivered trauma courses.</t>
  </si>
  <si>
    <t>Basic Surgical Skills (BSS)</t>
  </si>
  <si>
    <t>Basic Techniques In Arthroscopic Surgery</t>
  </si>
  <si>
    <t>British Orthopaedic Association (BOA) Conference</t>
  </si>
  <si>
    <t>For trainees wanting to do T&amp;O</t>
  </si>
  <si>
    <t>Clinical Skills In Spinal Assessment</t>
  </si>
  <si>
    <t>Good for all core trainees</t>
  </si>
  <si>
    <t>Core Skills In Laparoscopic Surgery</t>
  </si>
  <si>
    <t>For trainees wanting to do Gen Surg</t>
  </si>
  <si>
    <t>Enhanced Induction/Bootcamp</t>
  </si>
  <si>
    <t>All new CST trainees must attend.</t>
  </si>
  <si>
    <t xml:space="preserve">Ear Nose Throat (ENT) Skills Course </t>
  </si>
  <si>
    <t>Essential skills in cardiothoracic surgery</t>
  </si>
  <si>
    <t>Fracture Management Course (AO or equivalent)</t>
  </si>
  <si>
    <t>Emergency Management Severe Burns (EMSB) course</t>
  </si>
  <si>
    <t>For trainees wanting to do plastic</t>
  </si>
  <si>
    <t>Microsurgery and Flap Course</t>
  </si>
  <si>
    <t>National conference</t>
  </si>
  <si>
    <t>Operative Skills In Neurosurgery</t>
  </si>
  <si>
    <t>For trainees wanting to do neurosurgery</t>
  </si>
  <si>
    <t>Operative Skills In Orthopaedic Surgery Including Plastering</t>
  </si>
  <si>
    <t>Operative Skills In Paediatric Surgery</t>
  </si>
  <si>
    <t>For trainees wanting to do paediatrics</t>
  </si>
  <si>
    <t>Operative Skills In Urology</t>
  </si>
  <si>
    <t>For trainees wanting to do Urology</t>
  </si>
  <si>
    <t>South West Orthopaedic Club (SWOC)</t>
  </si>
  <si>
    <t xml:space="preserve">Core Trainees are expected to attend 1 national conference during core training (2 years) that will be included in their study budget.  This can be a generic conference such as ASGBI or a specific conference and are dependent on a trainees rotations and future surgical career plans.  </t>
  </si>
  <si>
    <t>Specialist Registrar Skills In General Surgery</t>
  </si>
  <si>
    <t>Specialty Skills In Breast Surgery</t>
  </si>
  <si>
    <t>For trainees wanting to do breast surgery</t>
  </si>
  <si>
    <t>Specialty Skills In Emergency Surgery &amp; Trauma</t>
  </si>
  <si>
    <t>Specialty Skills In Microvascular</t>
  </si>
  <si>
    <t>Specialty Skills In Plastic Surgery &amp; Burns</t>
  </si>
  <si>
    <t>For trainees wanting to do Plastic</t>
  </si>
  <si>
    <t>Specialty Skills In Vascular Surgery</t>
  </si>
  <si>
    <t>Basic ENT Skills Course (BEST)</t>
  </si>
  <si>
    <t>For trainees wanting to do ENT</t>
  </si>
  <si>
    <t>Hip, Ankle &amp; Radius Fractures Course</t>
  </si>
  <si>
    <t>Abdominal Wall Reconstruction</t>
  </si>
  <si>
    <t>Association of Breast Surgery (ABS) Conference</t>
  </si>
  <si>
    <t>Advanced  Laparoscopic Training Course</t>
  </si>
  <si>
    <t>Later years.</t>
  </si>
  <si>
    <t>Association of Surgeons of Great Britain and Ireland (ASGBI) Conference.</t>
  </si>
  <si>
    <t>Attend ONLY if not attending the UK/Iceland Collaborative Conference.</t>
  </si>
  <si>
    <t>Crisp completed prior to reg training</t>
  </si>
  <si>
    <t>Definitive Surgical Trauma Skills Course At RCS</t>
  </si>
  <si>
    <t>A trauma course is mandatory</t>
  </si>
  <si>
    <t>Basic Skills In Colonoscopy</t>
  </si>
  <si>
    <t xml:space="preserve">advised for all GI trainees to do upper or lower GI endoscopy  skills course </t>
  </si>
  <si>
    <t>Endoscopic Training Course (JAG Approved)</t>
  </si>
  <si>
    <t>European Society of Coloproctology tripartitie meeting pre-conference courses</t>
  </si>
  <si>
    <t>Joint Advisory Group (JAG) Approved Endoscopic Training Courses</t>
  </si>
  <si>
    <t>Peninsula Radiology Course for Surgeons (PRACS)</t>
  </si>
  <si>
    <t>Royal College of Paediatrics and Child Health (RCPCH) Sepsis course</t>
  </si>
  <si>
    <t xml:space="preserve">South West Oncoplastic Breast Meeting (SWOPS) </t>
  </si>
  <si>
    <t>Association Of Surgeons Courses In All Specialties</t>
  </si>
  <si>
    <t xml:space="preserve">One speciality relevant course mandatory per trainee during ST3+ trainee needed for CCT </t>
  </si>
  <si>
    <t>Cadaveric Course</t>
  </si>
  <si>
    <t>sub-specialty cadaveric courses included in list below.</t>
  </si>
  <si>
    <t>usually completed during core training</t>
  </si>
  <si>
    <t>Emergency Abdominal &amp; Thoracic Trauma Course</t>
  </si>
  <si>
    <t>a trauma course is mandatory eg DTS or ATLS</t>
  </si>
  <si>
    <t>Intermediate Skills In Laparoscopic Surgery</t>
  </si>
  <si>
    <t>Laparoscopic Training Course</t>
  </si>
  <si>
    <t>RCS Definitive Trauma Skills Course</t>
  </si>
  <si>
    <t>A trauma course is mandatory eg DTS or ATLS</t>
  </si>
  <si>
    <t>Specialty Skills In Breast Disease</t>
  </si>
  <si>
    <t>Specialty Skills In Breast Disease Management</t>
  </si>
  <si>
    <t>Specialty Skills In Coloproctology Stage 2</t>
  </si>
  <si>
    <t>One speciality relevant course mandatory per trainee during ST3+ trainee needed for CCT</t>
  </si>
  <si>
    <t>Specialty Skills In Colorectal Surgery</t>
  </si>
  <si>
    <t>Specialty Skills In Oncoplastic &amp; Breast Reconstruction</t>
  </si>
  <si>
    <t>Transplant UK Organ Retrieval Workshop</t>
  </si>
  <si>
    <t>UGI Congress</t>
  </si>
  <si>
    <t>UK Foundation Program Sharing Event</t>
  </si>
  <si>
    <t>UK-Iceland Collaborative Conference</t>
  </si>
  <si>
    <t>This course is supported up to £600 in total;  PG DiTs must submit an overseas application to NHSE SW within 6-8 weeks of attendance for approval and a reference number.  PG DiTs can attend this conference OR he ASGBI - NOT both.</t>
  </si>
  <si>
    <t>Attendance At Sub-Specialty Skill Course - appropriate to trainees need (in Final years) i.e. Vascular, Endoscopy, Oncology, Spine.</t>
  </si>
  <si>
    <t>British Neurosurgical Trainees Course or
European Association of Neurosurgeons Course</t>
  </si>
  <si>
    <t>Application through overseas process ensuring eligibility which will need NHSE approval for courses not in the UK.</t>
  </si>
  <si>
    <t xml:space="preserve">DSTS/DSTC/DCOTS </t>
  </si>
  <si>
    <t>European Society for Pediatric Neurosurgery (ESPN) Course In Paediatric Neurosurgery</t>
  </si>
  <si>
    <t>Course runs on a 3 year cycle attendance at every cycle (one course per year) required for certification - highly desirable course for trainees wishing to subspecialise in paediatric neurosurgery</t>
  </si>
  <si>
    <t xml:space="preserve">Good Clinical Practice </t>
  </si>
  <si>
    <t>Neurosurgical Boot Camp/ Enhanced Induction</t>
  </si>
  <si>
    <t>Non-Technical 
Skills for Surgeons (NOTSS)</t>
  </si>
  <si>
    <t>West Midlands plan to develop regional NOTSS course.</t>
  </si>
  <si>
    <t>Aesthetic/Rhinoplasty Courses</t>
  </si>
  <si>
    <t>ATLS or European Trauma Course (ETC), or DSTS, DSTC, DCOTS</t>
  </si>
  <si>
    <t>British Association of Oral and Maxillofacial Surgeons) Annual Scientific Meeting (BAOMS ASM)</t>
  </si>
  <si>
    <t xml:space="preserve">Basic Plating  </t>
  </si>
  <si>
    <t>Cadaveric.</t>
  </si>
  <si>
    <t>Complex Facial Trauma Course</t>
  </si>
  <si>
    <t>Complex/Advanced Trauma Course Including Condylar Fractures &amp; Orbital Access</t>
  </si>
  <si>
    <t>Distraction Osteogenesis</t>
  </si>
  <si>
    <t>Emergency Skills Course</t>
  </si>
  <si>
    <t>Flap Courses/Head &amp; Neck Controversies</t>
  </si>
  <si>
    <t>Flap Reconstruction Course</t>
  </si>
  <si>
    <t xml:space="preserve">Head &amp; Neck Anatomy </t>
  </si>
  <si>
    <t>Head &amp; Neck Anatomy Course</t>
  </si>
  <si>
    <t>Implant Course</t>
  </si>
  <si>
    <t xml:space="preserve">Microvascular Anastomosis </t>
  </si>
  <si>
    <t>Microvascular Course</t>
  </si>
  <si>
    <t xml:space="preserve">OMFS Enhanced Induction (Bootcamp) </t>
  </si>
  <si>
    <t>Orthognamic Course</t>
  </si>
  <si>
    <t>Salivary Course Including Minimal Access</t>
  </si>
  <si>
    <t>Surgical Dermatology Course</t>
  </si>
  <si>
    <t>Temporomandibular Joint (TMJ) Arthroscopy</t>
  </si>
  <si>
    <t>Advanced Trauma Life Support or Approved Equivalent</t>
  </si>
  <si>
    <t>Audiology Course</t>
  </si>
  <si>
    <t>British Academic Conference in Otolaryngology (BACO) conference</t>
  </si>
  <si>
    <t>British Rhinological Society (BRS) Annual Meeting 2026</t>
  </si>
  <si>
    <t>Coblation Tonsillectomy</t>
  </si>
  <si>
    <t>Endoscopic ear surgery</t>
  </si>
  <si>
    <t>Evidence Based Practice Course</t>
  </si>
  <si>
    <t>Good Clinical Practice (GPC) Course</t>
  </si>
  <si>
    <t>required for CCT</t>
  </si>
  <si>
    <t>Head &amp; Neck Surgery including Phonosurgery</t>
  </si>
  <si>
    <t>Laser Surgery Course</t>
  </si>
  <si>
    <t>Microvascular flap course</t>
  </si>
  <si>
    <t>National / International Conference</t>
  </si>
  <si>
    <t>If overseas refer to Overseas Study Leave Guidance.</t>
  </si>
  <si>
    <t>On-Line ENT learning (eLF-ENT)</t>
  </si>
  <si>
    <t>No cost</t>
  </si>
  <si>
    <t>Other cadaveric Dissection Course including  Skull Base/DCR</t>
  </si>
  <si>
    <t xml:space="preserve">Paediatric ENT course </t>
  </si>
  <si>
    <t>Robotic Surgery</t>
  </si>
  <si>
    <t>Septorhinoplasy &amp; Facial Plastic Surgery</t>
  </si>
  <si>
    <t>Sinus Anatomy / Functional Endoscopic Sinus Surgery (FESS) Course</t>
  </si>
  <si>
    <t>ST3 Bootcamp</t>
  </si>
  <si>
    <t>Balance / Vertigo Course</t>
  </si>
  <si>
    <t>SWLA-  South West Laryngoglogy Association Winter conference (date to be confirmed)</t>
  </si>
  <si>
    <t xml:space="preserve">Temporal Bone Dissection Course </t>
  </si>
  <si>
    <t>Advanced Paediatric Cadaveric Trauma course</t>
  </si>
  <si>
    <t xml:space="preserve">Advanced Paediatric Laparoscopic Skills </t>
  </si>
  <si>
    <t>ATLS (Advanced Trauma Life Support), APLS (Advanced Paediatric Life Support) or Approved Equivalent</t>
  </si>
  <si>
    <t>Equivalent includes European Trauma Course (ETC) and approved locally delivered trauma courses. Needs to be repeated every 4 years</t>
  </si>
  <si>
    <t>British  Association of Paediatric Surgery annual Conference (BAPS)</t>
  </si>
  <si>
    <t>British Association of Paediatric Surgery (BAPS) training day and BAPS winter meeting</t>
  </si>
  <si>
    <t>British Association of Paediatric Urologists (BAPU) Urology Course</t>
  </si>
  <si>
    <t>British Association of Plastic Surgery Oncology Surgery course (BAPS CCLG)</t>
  </si>
  <si>
    <t>Definitive Trauma Skills Course</t>
  </si>
  <si>
    <t xml:space="preserve">European Paediatric Surgery Association Conference (EUPSA),   European society of Peadiatric urology (ESPU), International Pediatric Endoscopic group (IPEG), World federation of assosciation of paediatric surgeons (WoFAPS) </t>
  </si>
  <si>
    <t>Neonatal Surgery Course</t>
  </si>
  <si>
    <t>Simulation Enhanced Learning course for Paediatric  Surgical Trainees. ST3 Boot camp</t>
  </si>
  <si>
    <t>Vascular Access Course</t>
  </si>
  <si>
    <t>Advanced Fracture Management (Association of Osteosynthesis or equivalent)</t>
  </si>
  <si>
    <t>ATLS or approved equivalent</t>
  </si>
  <si>
    <t>Basic Fracture Management Course (Association of Osteosynthesis or equivalent)</t>
  </si>
  <si>
    <t>Basic Skills In Hand Surgery Course</t>
  </si>
  <si>
    <t>British Association Aesthetic Plastic Surgeons (BAAPS) national conference</t>
  </si>
  <si>
    <t>Attending is Discretionary. Presenting will be classed as Essential</t>
  </si>
  <si>
    <t>British Association Aesthetic Plastic Surgeons (BAAPS) regional aesthetic training day</t>
  </si>
  <si>
    <t>British Association of Aesthetic Plastic Surgeons National Conference</t>
  </si>
  <si>
    <t>Attending is a Discretionary. Presenting with be classed as a Essential.</t>
  </si>
  <si>
    <t>British Association of Plastic Reconstructive Aesthetic  Surgeons Advanced Educational Courses</t>
  </si>
  <si>
    <t>British Burns Association (BBA) conference</t>
  </si>
  <si>
    <t>British Society  of Surgery of the Hand (BSSH) national conference</t>
  </si>
  <si>
    <t>Cadaveric Flap Dissection course</t>
  </si>
  <si>
    <t>Dermoscopy</t>
  </si>
  <si>
    <t>Hand and wrist ultrasound course</t>
  </si>
  <si>
    <t>Instructional courses in hand surgery (BSSH)</t>
  </si>
  <si>
    <t>Microsurgical Skills course</t>
  </si>
  <si>
    <t>Mini C Arm (IRMER) Course</t>
  </si>
  <si>
    <t>National Online Training Programme</t>
  </si>
  <si>
    <t>NOTS (Non operative technical skills)</t>
  </si>
  <si>
    <t>Peripheral Nerve course</t>
  </si>
  <si>
    <t>Regional Anatomy Courses e.g. Upper Limb, Head &amp; Neck.</t>
  </si>
  <si>
    <t>Sentinel Lymph Node Biopsy Course</t>
  </si>
  <si>
    <t>Advanced Fracture Management (AO Association of Osteosynthesis or equivalent)</t>
  </si>
  <si>
    <t>Annual BOA Bristish Orthopaedic Society Conference (to attend)</t>
  </si>
  <si>
    <t>Annual BOA Bristish Orthopaedic Society Conference (to present)</t>
  </si>
  <si>
    <t>Annual Orthopaedic Subspecialist Society Conference (to attend)</t>
  </si>
  <si>
    <t>Examples: BESS, BSSH, BHS, BASK, BOFAS, OTS, BOOS, BLRS, BSCOS, BOSTAA, BOTA, ASIT</t>
  </si>
  <si>
    <t>Annual Orthopaedic Subspecialist Society Conference (to present)</t>
  </si>
  <si>
    <t>AO Basic Principles of Fracture Management course</t>
  </si>
  <si>
    <t>Arthroscopy Course</t>
  </si>
  <si>
    <t>BASS British Association of Spinal Surgeons Conference</t>
  </si>
  <si>
    <t>Britspine Conference</t>
  </si>
  <si>
    <t>Damage Control Orthopaedic Trauma Surgery (DCOTS)</t>
  </si>
  <si>
    <t>Funded as Essential If PG DIT unable to attend ATLS.</t>
  </si>
  <si>
    <t xml:space="preserve">Damage Control Trauma </t>
  </si>
  <si>
    <t>European Trauma Course / ATLS</t>
  </si>
  <si>
    <t>Equivalent includes approved locally delivered trauma courses.</t>
  </si>
  <si>
    <t>Foot and Ankle Instructional Course</t>
  </si>
  <si>
    <t>Fracture Management (AO Association of Osteosynthesis or equivalent)</t>
  </si>
  <si>
    <t>Hand and Wrist Instructional Course</t>
  </si>
  <si>
    <t>Hip Arthroplasty Course</t>
  </si>
  <si>
    <t>Knee Arthroplasty Course</t>
  </si>
  <si>
    <t>Knee Instructional Course</t>
  </si>
  <si>
    <t>Limb Deformity/Correction Course</t>
  </si>
  <si>
    <t>Orthopaedic Trauma Society course</t>
  </si>
  <si>
    <t>ORUK Paediatric Trauma Course</t>
  </si>
  <si>
    <t>Paediatric Orthopaedics Instructional Course</t>
  </si>
  <si>
    <t>Plastering Course</t>
  </si>
  <si>
    <t>Shoulder Instructional Course</t>
  </si>
  <si>
    <t>South West Orthopaedic Confernce</t>
  </si>
  <si>
    <t>Spinal Instructional Course</t>
  </si>
  <si>
    <t>Statistics &amp; Research Course (+GCP)</t>
  </si>
  <si>
    <t>Surgical Approaches Course (Cadaveric)</t>
  </si>
  <si>
    <t>T&amp;O FRCS General Course</t>
  </si>
  <si>
    <t>Bristol Urological Institute Annual Meeting</t>
  </si>
  <si>
    <t>British Association of Urological Surgeons (BAUS) Annual Meeting</t>
  </si>
  <si>
    <t>British Association of Urological Surgeons (BAUS) Endourology Dry Lab Course</t>
  </si>
  <si>
    <t>Dry &amp; Wet Lab Laparoscopy</t>
  </si>
  <si>
    <t>Emergency Cadaveric Surgery Course</t>
  </si>
  <si>
    <t>Emergency Urology Course</t>
  </si>
  <si>
    <t xml:space="preserve">Good Clinical Practice/Research Methods </t>
  </si>
  <si>
    <t>Laparoscopic Nephrology Surgery Training</t>
  </si>
  <si>
    <t>Paediatric Urology Course</t>
  </si>
  <si>
    <t xml:space="preserve">Percutaneous Nephrolithotomy (PCNL) (stones)-  Course </t>
  </si>
  <si>
    <t>Percutaneous Nephrolithotomy (PCNL) Masterclass Course</t>
  </si>
  <si>
    <t>Rigid &amp; Flexible Ureterorenoscopy, Laser &amp; Stenting Course</t>
  </si>
  <si>
    <t>Scientific Basis Of Urology</t>
  </si>
  <si>
    <t>South West Urology Annual Meeting</t>
  </si>
  <si>
    <t>Spinal Injuries For Urologists</t>
  </si>
  <si>
    <t xml:space="preserve">The British Association of Paediatric Urologists (BAPU) Course (Paeds Urology) </t>
  </si>
  <si>
    <t>Ureteroscopy Course</t>
  </si>
  <si>
    <t>Urodynamics Course</t>
  </si>
  <si>
    <t>Urology Boot Camp</t>
  </si>
  <si>
    <t>Advanced Trauma Life Support (or eqivalent) - European Trauma course</t>
  </si>
  <si>
    <t> </t>
  </si>
  <si>
    <t xml:space="preserve">Amputation Course </t>
  </si>
  <si>
    <t>British Society for Endovascular Therapy annual training day</t>
  </si>
  <si>
    <t>British Society for Endovascular Therapy Conference</t>
  </si>
  <si>
    <t>Care of the Critically Ill Surgical Patient (cCrISP) course</t>
  </si>
  <si>
    <t xml:space="preserve">Complex endovascular course </t>
  </si>
  <si>
    <t xml:space="preserve">Definitive Trauma Skills Course </t>
  </si>
  <si>
    <t xml:space="preserve">Open Vascular Approaches </t>
  </si>
  <si>
    <t xml:space="preserve">Renal access course - cadaveric </t>
  </si>
  <si>
    <t>Meets a gap for some trainees who do not rotate through high volume renal access centres. CCT requirement, RCS and Vascular Society have identifed as an area of need for training</t>
  </si>
  <si>
    <t xml:space="preserve">Vascular Limb salvage Academy - cadaveric </t>
  </si>
  <si>
    <t>Vascular society Annual SPecIalist Registrar Educational Programme - 3,4,5,6,7,8</t>
  </si>
  <si>
    <t>Vascular Society of Great Britain and Ireland Annual Scientific Meeting</t>
  </si>
  <si>
    <t>Vascular Ultrasound</t>
  </si>
  <si>
    <t>part of specialist training, but delivery sporadic</t>
  </si>
  <si>
    <t>Cats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</si>
</sst>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b/>
      <sz val="11"/>
      <color theme="0"/>
      <name val="Aptos Narrow"/>
      <family val="2"/>
      <scheme val="minor"/>
    </font>
    <font>
      <sz val="24"/>
      <color theme="0"/>
      <name val="Aptos Display"/>
      <family val="2"/>
      <scheme val="major"/>
    </font>
    <font>
      <sz val="8"/>
      <name val="Aptos Narrow"/>
      <family val="2"/>
      <scheme val="minor"/>
    </font>
    <font>
      <sz val="11"/>
      <color theme="0"/>
      <name val="Aptos Narrow"/>
      <family val="2"/>
      <scheme val="minor"/>
    </font>
    <font>
      <sz val="11"/>
      <color rgb="FF9C5700"/>
      <name val="Aptos Narrow"/>
      <family val="2"/>
      <scheme val="minor"/>
    </font>
    <font>
      <b/>
      <sz val="22"/>
      <color theme="1"/>
      <name val="Aptos Narrow"/>
      <family val="2"/>
      <scheme val="minor"/>
    </font>
    <font>
      <sz val="16"/>
      <color theme="1"/>
      <name val="Aptos Narrow"/>
      <family val="2"/>
      <scheme val="minor"/>
    </font>
    <font>
      <sz val="18"/>
      <color theme="1"/>
      <name val="Aptos Narrow"/>
      <family val="2"/>
      <scheme val="minor"/>
    </font>
    <font>
      <sz val="22"/>
      <color theme="0"/>
      <name val="Aptos Display"/>
      <family val="2"/>
      <scheme val="major"/>
    </font>
    <font>
      <b/>
      <sz val="11"/>
      <color theme="0"/>
      <name val="Aptos Display"/>
      <family val="2"/>
      <scheme val="major"/>
    </font>
    <font>
      <sz val="11"/>
      <color theme="1"/>
      <name val="Aptos"/>
      <family val="2"/>
    </font>
    <font>
      <sz val="16"/>
      <color rgb="FFFF0000"/>
      <name val="Aptos Display"/>
      <family val="2"/>
      <scheme val="major"/>
    </font>
    <font>
      <b/>
      <sz val="11"/>
      <name val="Aptos Narrow"/>
      <family val="2"/>
      <scheme val="minor"/>
    </font>
    <font>
      <b/>
      <sz val="11"/>
      <color theme="1"/>
      <name val="Aptos Narrow"/>
      <family val="2"/>
      <scheme val="minor"/>
    </font>
    <font>
      <sz val="11"/>
      <color rgb="FFFF0000"/>
      <name val="Aptos Narrow"/>
      <family val="2"/>
      <scheme val="minor"/>
    </font>
    <font>
      <sz val="9"/>
      <color indexed="81"/>
      <name val="Tahoma"/>
      <family val="2"/>
    </font>
    <font>
      <b/>
      <sz val="9"/>
      <color indexed="81"/>
      <name val="Tahoma"/>
      <family val="2"/>
    </font>
    <font>
      <sz val="11"/>
      <name val="Aptos Narrow"/>
      <family val="2"/>
      <scheme val="minor"/>
    </font>
    <font>
      <sz val="11"/>
      <color rgb="FF000000"/>
      <name val="Aptos Narrow"/>
    </font>
    <font>
      <sz val="11"/>
      <color rgb="FF000000"/>
      <name val="Aptos Narrow"/>
      <family val="2"/>
      <scheme val="minor"/>
    </font>
    <font>
      <sz val="10"/>
      <color rgb="FF000000"/>
      <name val="Arial"/>
      <family val="2"/>
    </font>
    <font>
      <u/>
      <sz val="11"/>
      <color theme="10"/>
      <name val="Aptos Narrow"/>
      <family val="2"/>
      <scheme val="minor"/>
    </font>
    <font>
      <sz val="11"/>
      <color rgb="FF242424"/>
      <name val="Aptos Narrow"/>
      <charset val="1"/>
    </font>
    <font>
      <b/>
      <u/>
      <sz val="11"/>
      <color rgb="FF000000"/>
      <name val="Aptos Narrow"/>
      <family val="2"/>
      <scheme val="minor"/>
    </font>
    <font>
      <b/>
      <sz val="11"/>
      <color rgb="FF000000"/>
      <name val="Aptos Narrow"/>
      <family val="2"/>
      <scheme val="minor"/>
    </font>
    <font>
      <sz val="11"/>
      <color rgb="FF006100"/>
      <name val="Aptos Narrow"/>
      <family val="2"/>
    </font>
    <font>
      <sz val="11"/>
      <color rgb="FF9C5700"/>
      <name val="Aptos Narrow"/>
      <family val="2"/>
    </font>
    <font>
      <sz val="11"/>
      <color rgb="FF7030A0"/>
      <name val="Aptos Narrow"/>
      <family val="2"/>
    </font>
    <font>
      <strike/>
      <sz val="11"/>
      <color rgb="FF000000"/>
      <name val="Aptos Narrow"/>
    </font>
    <font>
      <sz val="11"/>
      <color rgb="FF000000"/>
      <name val="Aptos"/>
      <family val="2"/>
    </font>
    <font>
      <u/>
      <sz val="11"/>
      <color rgb="FF000000"/>
      <name val="Aptos Narrow"/>
      <family val="2"/>
      <scheme val="minor"/>
    </font>
  </fonts>
  <fills count="12">
    <fill>
      <patternFill patternType="none"/>
    </fill>
    <fill>
      <patternFill patternType="gray125"/>
    </fill>
    <fill>
      <patternFill patternType="solid">
        <fgColor theme="7" tint="-0.249977111117893"/>
        <bgColor indexed="64"/>
      </patternFill>
    </fill>
    <fill>
      <patternFill patternType="solid">
        <fgColor rgb="FFFFEB9C"/>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9" tint="0.59999389629810485"/>
        <bgColor indexed="64"/>
      </patternFill>
    </fill>
    <fill>
      <patternFill patternType="solid">
        <fgColor rgb="FFC6EFCE"/>
        <bgColor rgb="FFC0E6F5"/>
      </patternFill>
    </fill>
    <fill>
      <patternFill patternType="solid">
        <fgColor rgb="FFC6EFCE"/>
        <bgColor rgb="FF000000"/>
      </patternFill>
    </fill>
    <fill>
      <patternFill patternType="solid">
        <fgColor rgb="FFFFEB9C"/>
        <bgColor rgb="FFC0E6F5"/>
      </patternFill>
    </fill>
    <fill>
      <patternFill patternType="solid">
        <fgColor rgb="FFE49EDD"/>
        <bgColor rgb="FFC0E6F5"/>
      </patternFill>
    </fill>
    <fill>
      <patternFill patternType="solid">
        <fgColor rgb="FFE49EDD"/>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diagonal/>
    </border>
    <border>
      <left style="thin">
        <color indexed="64"/>
      </left>
      <right style="thin">
        <color indexed="64"/>
      </right>
      <top style="thin">
        <color indexed="64"/>
      </top>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rgb="FF156082"/>
      </left>
      <right style="thin">
        <color rgb="FF156082"/>
      </right>
      <top style="thin">
        <color rgb="FF156082"/>
      </top>
      <bottom style="thin">
        <color rgb="FF156082"/>
      </bottom>
      <diagonal/>
    </border>
  </borders>
  <cellStyleXfs count="3">
    <xf numFmtId="0" fontId="0" fillId="0" borderId="0"/>
    <xf numFmtId="0" fontId="5" fillId="3" borderId="0" applyNumberFormat="0" applyBorder="0" applyAlignment="0" applyProtection="0"/>
    <xf numFmtId="0" fontId="22" fillId="0" borderId="0" applyNumberFormat="0" applyFill="0" applyBorder="0" applyAlignment="0" applyProtection="0"/>
  </cellStyleXfs>
  <cellXfs count="69">
    <xf numFmtId="0" fontId="0" fillId="0" borderId="0" xfId="0"/>
    <xf numFmtId="0" fontId="0" fillId="0" borderId="0" xfId="0" applyAlignment="1">
      <alignment wrapText="1"/>
    </xf>
    <xf numFmtId="0" fontId="0" fillId="0" borderId="0" xfId="0"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0" fillId="0" borderId="0" xfId="0"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7" fillId="0" borderId="0" xfId="0" applyFont="1" applyAlignment="1">
      <alignment horizontal="center"/>
    </xf>
    <xf numFmtId="0" fontId="7" fillId="0" borderId="0" xfId="0" applyFont="1" applyAlignment="1">
      <alignment wrapText="1"/>
    </xf>
    <xf numFmtId="0" fontId="7" fillId="0" borderId="0" xfId="0" applyFont="1"/>
    <xf numFmtId="0" fontId="2" fillId="0" borderId="0" xfId="0" applyFont="1"/>
    <xf numFmtId="0" fontId="6" fillId="0" borderId="0" xfId="0" applyFont="1"/>
    <xf numFmtId="0" fontId="8" fillId="0" borderId="0" xfId="0" applyFont="1"/>
    <xf numFmtId="0" fontId="9" fillId="0" borderId="0" xfId="0" applyFont="1"/>
    <xf numFmtId="0" fontId="10" fillId="2"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5" fillId="3" borderId="1" xfId="1"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xf>
    <xf numFmtId="0" fontId="0" fillId="0" borderId="0" xfId="0" applyAlignment="1">
      <alignment horizontal="center" wrapText="1"/>
    </xf>
    <xf numFmtId="0" fontId="0" fillId="4" borderId="2"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wrapText="1"/>
    </xf>
    <xf numFmtId="0" fontId="0" fillId="5" borderId="0" xfId="0" applyFill="1" applyAlignment="1">
      <alignment horizontal="center" vertical="center" wrapText="1"/>
    </xf>
    <xf numFmtId="0" fontId="0" fillId="4" borderId="2" xfId="0"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4" borderId="7" xfId="0"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5" fillId="3" borderId="5" xfId="1" applyBorder="1" applyAlignment="1">
      <alignment horizontal="center" vertical="center"/>
    </xf>
    <xf numFmtId="0" fontId="0" fillId="0" borderId="2" xfId="0" applyBorder="1" applyAlignment="1">
      <alignment horizontal="center" vertical="center"/>
    </xf>
    <xf numFmtId="0" fontId="19" fillId="0" borderId="0" xfId="0" applyFont="1" applyAlignment="1">
      <alignment horizontal="center" vertical="center" wrapText="1"/>
    </xf>
    <xf numFmtId="0" fontId="0" fillId="0" borderId="0" xfId="0" applyAlignment="1">
      <alignment horizont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0" fillId="6" borderId="0" xfId="0" applyFill="1" applyAlignment="1">
      <alignment horizontal="center" vertical="center" wrapText="1"/>
    </xf>
    <xf numFmtId="0" fontId="15" fillId="5" borderId="0" xfId="0" applyFont="1" applyFill="1" applyAlignment="1">
      <alignment horizontal="center" vertical="center"/>
    </xf>
    <xf numFmtId="0" fontId="26" fillId="7" borderId="8" xfId="0" applyFont="1" applyFill="1" applyBorder="1"/>
    <xf numFmtId="0" fontId="26" fillId="8" borderId="8" xfId="0" applyFont="1" applyFill="1" applyBorder="1"/>
    <xf numFmtId="0" fontId="27" fillId="9" borderId="8" xfId="0" applyFont="1" applyFill="1" applyBorder="1" applyAlignment="1">
      <alignment wrapText="1"/>
    </xf>
    <xf numFmtId="0" fontId="28" fillId="10" borderId="8" xfId="0" applyFont="1" applyFill="1" applyBorder="1" applyAlignment="1">
      <alignment wrapText="1"/>
    </xf>
    <xf numFmtId="0" fontId="28" fillId="11" borderId="8" xfId="0" applyFont="1" applyFill="1" applyBorder="1" applyAlignment="1">
      <alignment wrapText="1"/>
    </xf>
    <xf numFmtId="0" fontId="0" fillId="0" borderId="4" xfId="0" applyBorder="1" applyAlignment="1">
      <alignment horizontal="center" vertical="center" wrapText="1"/>
    </xf>
    <xf numFmtId="0" fontId="20" fillId="0" borderId="0" xfId="0" applyFont="1" applyAlignment="1">
      <alignment horizontal="center" vertical="center"/>
    </xf>
    <xf numFmtId="0" fontId="0" fillId="0" borderId="7" xfId="0" applyBorder="1" applyAlignment="1">
      <alignment horizontal="center" vertical="center"/>
    </xf>
    <xf numFmtId="0" fontId="30" fillId="0" borderId="0" xfId="0" applyFont="1" applyAlignment="1">
      <alignment horizontal="center" vertical="center" wrapText="1"/>
    </xf>
    <xf numFmtId="0" fontId="23" fillId="0" borderId="0" xfId="0" applyFont="1" applyAlignment="1">
      <alignment horizontal="center" wrapText="1"/>
    </xf>
    <xf numFmtId="0" fontId="31" fillId="0" borderId="0" xfId="2" applyFont="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2" fillId="2" borderId="0" xfId="0" applyFont="1" applyFill="1" applyAlignment="1">
      <alignment horizontal="center"/>
    </xf>
    <xf numFmtId="0" fontId="1" fillId="2" borderId="0" xfId="0" applyFont="1" applyFill="1" applyAlignment="1">
      <alignment horizontal="center"/>
    </xf>
    <xf numFmtId="0" fontId="0" fillId="0" borderId="0" xfId="0" applyAlignment="1">
      <alignment horizontal="center" wrapText="1"/>
    </xf>
    <xf numFmtId="0" fontId="7" fillId="0" borderId="0" xfId="0" applyFont="1" applyAlignment="1">
      <alignment horizontal="center"/>
    </xf>
    <xf numFmtId="0" fontId="7" fillId="0" borderId="0" xfId="0" applyFont="1" applyAlignment="1">
      <alignment horizontal="center" wrapText="1"/>
    </xf>
    <xf numFmtId="0" fontId="12" fillId="0" borderId="0" xfId="0" applyFont="1" applyAlignment="1">
      <alignment horizontal="center" wrapText="1"/>
    </xf>
    <xf numFmtId="0" fontId="6" fillId="0" borderId="0" xfId="0" applyFont="1" applyAlignment="1">
      <alignment horizontal="center"/>
    </xf>
    <xf numFmtId="0" fontId="8" fillId="0" borderId="0" xfId="0" applyFont="1" applyAlignment="1">
      <alignment horizontal="center"/>
    </xf>
    <xf numFmtId="0" fontId="9" fillId="2" borderId="0" xfId="0" applyFont="1" applyFill="1" applyAlignment="1">
      <alignment horizontal="center"/>
    </xf>
    <xf numFmtId="0" fontId="13" fillId="0" borderId="0" xfId="0" applyFont="1" applyAlignment="1">
      <alignment horizontal="center"/>
    </xf>
    <xf numFmtId="0" fontId="1" fillId="0" borderId="0" xfId="0" applyFont="1" applyAlignment="1">
      <alignment horizontal="center"/>
    </xf>
    <xf numFmtId="0" fontId="14" fillId="0" borderId="0" xfId="0" applyFont="1" applyAlignment="1">
      <alignment horizontal="center" wrapText="1"/>
    </xf>
  </cellXfs>
  <cellStyles count="3">
    <cellStyle name="Hyperlink" xfId="2" builtinId="8"/>
    <cellStyle name="Neutral" xfId="1" builtinId="28"/>
    <cellStyle name="Normal" xfId="0" builtinId="0"/>
  </cellStyles>
  <dxfs count="2117">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7030A0"/>
      </font>
      <fill>
        <patternFill>
          <bgColor theme="8" tint="0.59996337778862885"/>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7030A0"/>
      </font>
      <fill>
        <patternFill>
          <bgColor theme="8" tint="0.59996337778862885"/>
        </patternFill>
      </fill>
    </dxf>
    <dxf>
      <font>
        <color theme="8" tint="-0.499984740745262"/>
      </font>
      <fill>
        <patternFill>
          <bgColor theme="8" tint="0.7999816888943144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Aptos"/>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Aptos Narrow"/>
        <family val="2"/>
        <scheme val="minor"/>
      </font>
      <fill>
        <patternFill patternType="none">
          <fgColor indexed="64"/>
          <bgColor rgb="FFFFFF00"/>
        </patternFill>
      </fill>
      <alignment horizontal="center" vertical="center" textRotation="0" wrapText="1" indent="0" justifyLastLine="0" shrinkToFit="0" readingOrder="0"/>
    </dxf>
    <dxf>
      <font>
        <strike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font>
        <strike val="0"/>
        <outline val="0"/>
        <shadow val="0"/>
        <u val="none"/>
        <vertAlign val="baseline"/>
        <sz val="11"/>
        <color auto="1"/>
        <name val="Aptos Narrow"/>
        <family val="2"/>
        <scheme val="minor"/>
      </font>
      <numFmt numFmtId="0" formatCode="General"/>
      <fill>
        <patternFill patternType="none">
          <fgColor indexed="64"/>
          <bgColor rgb="FFFFFF00"/>
        </patternFill>
      </fil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name val="Aptos"/>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indexed="64"/>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border outline="0">
        <top style="thin">
          <color rgb="FF000000"/>
        </top>
      </border>
    </dxf>
    <dxf>
      <font>
        <b/>
        <i val="0"/>
        <strike val="0"/>
        <condense val="0"/>
        <extend val="0"/>
        <outline val="0"/>
        <shadow val="0"/>
        <u val="none"/>
        <vertAlign val="baseline"/>
        <sz val="11"/>
        <color theme="0"/>
        <name val="Aptos Narrow"/>
        <family val="2"/>
        <scheme val="minor"/>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NM2.FYQ4V7WC/AppData/Local/Microsoft/Windows/INetCache/Content.Outlook/H039QRR4/Course%20List%202026-2027.xlsx" TargetMode="External"/><Relationship Id="rId2" Type="http://schemas.openxmlformats.org/officeDocument/2006/relationships/externalLinkPath" Target="file:///C:\Users\NM2.FYQ4V7WC\AppData\Local\Microsoft\Windows\INetCache\Content.Outlook\H039QRR4\Course%20List%202026-2027.xlsx" TargetMode="External"/><Relationship Id="rId1" Type="http://schemas.openxmlformats.org/officeDocument/2006/relationships/externalLinkPath" Target="/Users/NM2.FYQ4V7WC/AppData/Local/Microsoft/Windows/INetCache/Content.Outlook/H039QRR4/Course%20List%202026-2027.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NM2.FYQ4V7WC/AppData/Local/Microsoft/Windows/INetCache/Content.Outlook/H039QRR4/Course%20List%202026-2027%20CSRH%20updated%2028.7.26.xlsx" TargetMode="External"/><Relationship Id="rId2" Type="http://schemas.openxmlformats.org/officeDocument/2006/relationships/externalLinkPath" Target="file:///C:\Users\NM2.FYQ4V7WC\AppData\Local\Microsoft\Windows\INetCache\Content.Outlook\H039QRR4\Course%20List%202026-2027%20CSRH%20updated%2028.7.26.xlsx" TargetMode="External"/><Relationship Id="rId1" Type="http://schemas.openxmlformats.org/officeDocument/2006/relationships/externalLinkPath" Target="/Users/NM2.FYQ4V7WC/AppData/Local/Microsoft/Windows/INetCache/Content.Outlook/H039QRR4/Course%20List%202026-2027%20CSRH%20updated%2028.7.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Contents"/>
      <sheetName val="Generic"/>
      <sheetName val="Anaesthetics &amp; ICM"/>
      <sheetName val="ACCS"/>
      <sheetName val="CSRH"/>
      <sheetName val="EM"/>
      <sheetName val="Foundation"/>
      <sheetName val="Medicine"/>
      <sheetName val="O&amp;G"/>
      <sheetName val="Opth"/>
      <sheetName val="Paeds"/>
      <sheetName val="Path"/>
      <sheetName val="PC"/>
      <sheetName val="Psych"/>
      <sheetName val="Rad"/>
      <sheetName val="Surgery"/>
      <sheetName val="Information Sheet"/>
      <sheetName val="Course List 2026-2027"/>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Contents"/>
      <sheetName val="Generic"/>
      <sheetName val="Anaesthetics &amp; ICM"/>
      <sheetName val="ACCS"/>
      <sheetName val="CSRH"/>
      <sheetName val="EM"/>
      <sheetName val="Foundation"/>
      <sheetName val="Medicine"/>
      <sheetName val="O&amp;G"/>
      <sheetName val="Opth"/>
      <sheetName val="Paeds"/>
      <sheetName val="Path"/>
      <sheetName val="PC"/>
      <sheetName val="Psych"/>
      <sheetName val="Rad"/>
      <sheetName val="Surgery"/>
      <sheetName val="Information Sheet"/>
      <sheetName val="Course List 2026-2027 CSRH upd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8F06A20-77F7-4249-802F-BDAA4AA7D444}" name="Table179" displayName="Table179" ref="A8:G21" totalsRowShown="0" headerRowDxfId="2096" tableBorderDxfId="2095">
  <autoFilter ref="A8:G21" xr:uid="{C1DC213D-E22E-41C4-AAD1-1E326EB8938D}"/>
  <sortState xmlns:xlrd2="http://schemas.microsoft.com/office/spreadsheetml/2017/richdata2" ref="A9:G20">
    <sortCondition ref="D8:D20"/>
  </sortState>
  <tableColumns count="7">
    <tableColumn id="1" xr3:uid="{A1E3CA5E-C84F-4CF8-99C5-57E677FCE9EA}" name="Course Number" dataDxfId="2094">
      <calculatedColumnFormula>"GEN"&amp;TEXT(Table179[[#This Row],[Count]],"000")&amp;"."&amp;IF(Table179[[#This Row],[Category]]="Essential","E",IF(Table179[[#This Row],[Category]]="Discretionary","D","O"))</calculatedColumnFormula>
    </tableColumn>
    <tableColumn id="2" xr3:uid="{080829AF-1C3A-4487-B646-482696DF0AA6}" name="Count" dataDxfId="2093">
      <calculatedColumnFormula>ROW()-ROW(Table179[[#Headers],[Count]])</calculatedColumnFormula>
    </tableColumn>
    <tableColumn id="18" xr3:uid="{B168B725-AE6C-42C3-8F57-F78E7F0E6509}" name="Specialty / Programme" dataDxfId="2092"/>
    <tableColumn id="3" xr3:uid="{31C51B8D-47FE-4B6E-B797-64E50279FA5E}" name="Event/Course Title" dataDxfId="2091"/>
    <tableColumn id="4" xr3:uid="{DF9216AF-503F-4C2D-BD1D-572FB2340381}" name="Category" dataDxfId="2090"/>
    <tableColumn id="5" xr3:uid="{A75257A5-DDF3-44DF-83FF-1F389DC9E941}" name="All" dataDxfId="2089"/>
    <tableColumn id="17" xr3:uid="{232C852F-FD6F-4279-8447-A27ECCD438E0}" name="Comments" dataDxfId="2088"/>
  </tableColumns>
  <tableStyleInfo name="TableStyleLight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8F8B8D-17CF-49FC-93B0-B7B45D0676AE}" name="Table9" displayName="Table9" ref="A24:R57" totalsRowShown="0" headerRowDxfId="1927" dataDxfId="1926">
  <autoFilter ref="A24:R57" xr:uid="{2B8F4669-61B9-479B-8403-96F1BCF220F5}"/>
  <tableColumns count="18">
    <tableColumn id="1" xr3:uid="{631E0201-E847-464A-8622-DFA0B1A71E4C}" name="Course Number" dataDxfId="1925">
      <calculatedColumnFormula>"EM"&amp;TEXT(Table9[[#This Row],[Count]],"000")&amp;"."&amp;IF(Table9[[#This Row],[Category]]="Essential","E",IF(Table9[[#This Row],[Category]]="Discretionary","D","O"))</calculatedColumnFormula>
    </tableColumn>
    <tableColumn id="2" xr3:uid="{13ECC593-2532-404B-BCC1-E81CBE43D728}" name="Count" dataDxfId="1924">
      <calculatedColumnFormula>MAX(Table8[Count])+ROWS(INDEX(Table9[Count],1):Table9[[#This Row],[Count]])</calculatedColumnFormula>
    </tableColumn>
    <tableColumn id="18" xr3:uid="{2D83BA90-B7A9-4A99-B17E-2FED1271811E}" name="Specialty / Programme" dataDxfId="1923"/>
    <tableColumn id="3" xr3:uid="{EFA06ABF-F074-473F-BAC5-4E4891DFA576}" name="Event/Course Title" dataDxfId="1922"/>
    <tableColumn id="4" xr3:uid="{DCA8D028-2EB5-46A1-ABB6-14AC80A9ED25}" name="Category" dataDxfId="1921"/>
    <tableColumn id="5" xr3:uid="{D02ADBD8-7907-47D2-8201-F3D339E15A89}" name="All" dataDxfId="1920"/>
    <tableColumn id="6" xr3:uid="{98785024-2AD8-4B2A-BDC3-19E6D6B52C24}" name="CT1" dataDxfId="1919"/>
    <tableColumn id="7" xr3:uid="{85DA8849-774D-4667-9AE8-CF8F5480463A}" name="CT2" dataDxfId="1918"/>
    <tableColumn id="8" xr3:uid="{A74B8C08-2931-49A1-8085-257F3F264165}" name="CT3" dataDxfId="1917"/>
    <tableColumn id="9" xr3:uid="{F71C369B-9F78-4F9D-9A8C-6319F1F744C6}" name="ST1" dataDxfId="1916"/>
    <tableColumn id="10" xr3:uid="{B02F7211-E54F-4133-8692-895FECF5BC57}" name="ST2" dataDxfId="1915"/>
    <tableColumn id="11" xr3:uid="{938B2ADB-E89F-4A7F-8ABA-A7732E517437}" name="ST3" dataDxfId="1914"/>
    <tableColumn id="12" xr3:uid="{450A5FD3-D9AA-41EC-BB08-C4EACBAD0BB0}" name="ST4" dataDxfId="1913"/>
    <tableColumn id="13" xr3:uid="{DE4E85EE-4F3C-4CB3-B12B-245998B0D58D}" name="ST5" dataDxfId="1912"/>
    <tableColumn id="14" xr3:uid="{0EF7ADF9-A909-4E6D-A04C-F87F0D562D87}" name="ST6" dataDxfId="1911"/>
    <tableColumn id="15" xr3:uid="{D7A81D73-C8B6-49D7-B948-77A6B986488C}" name="ST7" dataDxfId="1910"/>
    <tableColumn id="16" xr3:uid="{57BF65A9-FFDC-4B5D-B71B-F556EA82B320}" name="ST8" dataDxfId="1909"/>
    <tableColumn id="17" xr3:uid="{35A97C88-2A17-46DD-A580-E9615FFFFA6A}" name="Comments" dataDxfId="1908"/>
  </tableColumns>
  <tableStyleInfo name="TableStyleLight1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07B1456-E0A9-460B-A909-B4D72D74E859}" name="Table10" displayName="Table10" ref="A60:R66" totalsRowShown="0" headerRowDxfId="1907" dataDxfId="1906">
  <autoFilter ref="A60:R66" xr:uid="{130C7BCC-2908-48DD-9F39-896AAB1B079D}"/>
  <tableColumns count="18">
    <tableColumn id="1" xr3:uid="{6208A262-3854-4145-969F-7B851B291BBF}" name="Course Number" dataDxfId="1905">
      <calculatedColumnFormula>"EM"&amp;TEXT(Table10[[#This Row],[Count]],"000")&amp;"."&amp;IF(Table10[[#This Row],[Category]]="Essential","E",IF(Table10[[#This Row],[Category]]="Discretionary","D","O"))</calculatedColumnFormula>
    </tableColumn>
    <tableColumn id="2" xr3:uid="{9CA38384-EE34-4A2E-8B2A-269EBD94D262}" name="Count" dataDxfId="1904">
      <calculatedColumnFormula>MAX(Table9[Count])+ROWS(INDEX(Table10[Count],1):Table10[[#This Row],[Count]])</calculatedColumnFormula>
    </tableColumn>
    <tableColumn id="18" xr3:uid="{8379954B-3F78-46FB-877E-05561648FBAF}" name="Specialty / Programme" dataDxfId="1903"/>
    <tableColumn id="3" xr3:uid="{245FC26C-3AEE-4C3A-BFF6-CC1B5E023C9D}" name="Event/Course Title" dataDxfId="1902"/>
    <tableColumn id="4" xr3:uid="{D9A0A11D-6C1C-4E3E-A36F-A1FE5B97AA3B}" name="Category" dataDxfId="1901"/>
    <tableColumn id="5" xr3:uid="{82847FB6-610F-4443-BE3F-34CCC7B7D49B}" name="All" dataDxfId="1900"/>
    <tableColumn id="6" xr3:uid="{90B338B8-666B-4A62-BF5D-C1E8A452993F}" name="CT1" dataDxfId="1899"/>
    <tableColumn id="7" xr3:uid="{2AD529E6-F841-4E6C-91F4-2835124F6ABD}" name="CT2" dataDxfId="1898"/>
    <tableColumn id="8" xr3:uid="{347B68CC-2820-4C7C-A40C-07B4E765BFA8}" name="CT3" dataDxfId="1897"/>
    <tableColumn id="9" xr3:uid="{95727E12-6509-41CE-A511-4447F4D33EBF}" name="ST1" dataDxfId="1896"/>
    <tableColumn id="10" xr3:uid="{BDB9F0F9-B0B2-4B5C-866A-E16F6F45A51F}" name="ST2" dataDxfId="1895"/>
    <tableColumn id="11" xr3:uid="{89D4033B-DD84-4D7B-B3ED-793AB83C8221}" name="ST3" dataDxfId="1894"/>
    <tableColumn id="12" xr3:uid="{C126CA6A-FC27-4646-B330-2AA2845DDF1C}" name="ST4" dataDxfId="1893"/>
    <tableColumn id="13" xr3:uid="{CF138F04-38CC-4DA5-BD2F-5155191B7A7F}" name="ST5" dataDxfId="1892"/>
    <tableColumn id="14" xr3:uid="{3E78922E-BB54-4CB8-8FCD-BBB6C579CE0A}" name="ST6" dataDxfId="1891"/>
    <tableColumn id="15" xr3:uid="{7126CFAE-1CBC-4D3D-A2E7-8D76F940AB7F}" name="ST7" dataDxfId="1890"/>
    <tableColumn id="16" xr3:uid="{84B17649-F7D1-4AAE-9B78-0D01571F5788}" name="ST8" dataDxfId="1889"/>
    <tableColumn id="17" xr3:uid="{8D185C7C-FF7E-417C-B54E-176D423C8C17}" name="Comments" dataDxfId="1888"/>
  </tableColumns>
  <tableStyleInfo name="TableStyleLight1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A18BBF6-6635-4C2C-8560-E6B0443EB482}" name="Table11" displayName="Table11" ref="A69:R75" totalsRowShown="0" headerRowDxfId="1887" dataDxfId="1886">
  <autoFilter ref="A69:R75" xr:uid="{F24C6658-CB11-40B8-8945-AA9BB11A1DB6}"/>
  <tableColumns count="18">
    <tableColumn id="1" xr3:uid="{4CBAD854-2190-4A2F-89EE-AE4E535B4B7A}" name="Course Number" dataDxfId="1885">
      <calculatedColumnFormula>"EM"&amp;TEXT(Table11[[#This Row],[Count]],"000")&amp;"."&amp;IF(Table11[[#This Row],[Category]]="Essential","E",IF(Table11[[#This Row],[Category]]="Discretionary","D","O"))</calculatedColumnFormula>
    </tableColumn>
    <tableColumn id="2" xr3:uid="{8B455336-EFB3-4679-B86B-78DAE51A85CC}" name="Count" dataDxfId="1884">
      <calculatedColumnFormula>MAX(Table10[Count])+ROWS(INDEX(Table11[Count],1):Table11[[#This Row],[Count]])</calculatedColumnFormula>
    </tableColumn>
    <tableColumn id="18" xr3:uid="{0B2575D9-4FFE-4843-BD82-C1250352CBCF}" name="Specialty / Programme" dataDxfId="1883"/>
    <tableColumn id="3" xr3:uid="{601E0B6B-C1BE-4570-91F2-B2688FC27C85}" name="Event/Course Title" dataDxfId="1882"/>
    <tableColumn id="4" xr3:uid="{63E5FAEC-95B6-4A51-85EA-8A604E67061B}" name="Category" dataDxfId="1881"/>
    <tableColumn id="5" xr3:uid="{942C3911-C1B8-4F0D-8D36-5CDAD4F50D5B}" name="All" dataDxfId="1880"/>
    <tableColumn id="6" xr3:uid="{31928199-382C-4282-BD2E-969F6F8E0A15}" name="CT1" dataDxfId="1879"/>
    <tableColumn id="7" xr3:uid="{1A086F3F-A7AB-478A-AB75-D41A9D7BD8CE}" name="CT2" dataDxfId="1878"/>
    <tableColumn id="8" xr3:uid="{B93F8BAD-8AFE-4689-B954-78E1D1682E4E}" name="CT3" dataDxfId="1877"/>
    <tableColumn id="9" xr3:uid="{5919B78D-1D56-4600-8A1B-61B702FFA2CE}" name="ST1" dataDxfId="1876"/>
    <tableColumn id="10" xr3:uid="{BD4D5DBD-C8F6-454F-AA6A-06F2DC4B0050}" name="ST2" dataDxfId="1875"/>
    <tableColumn id="11" xr3:uid="{5D0AAEC6-5DC9-4A66-8EED-9DE055DE3667}" name="ST3" dataDxfId="1874"/>
    <tableColumn id="12" xr3:uid="{588AF4BE-C77E-4A98-8D1A-2FBA860BF375}" name="ST4" dataDxfId="1873"/>
    <tableColumn id="13" xr3:uid="{6E6EE1DC-E9A1-4D1E-990E-2C2A3C8BFBEA}" name="ST5" dataDxfId="1872"/>
    <tableColumn id="14" xr3:uid="{0890B1E7-37A4-480B-9904-5E27F8978577}" name="ST6" dataDxfId="1871"/>
    <tableColumn id="15" xr3:uid="{6520DC31-F238-4D83-8368-4D75E2FC2B9A}" name="ST7" dataDxfId="1870"/>
    <tableColumn id="16" xr3:uid="{F998889F-6BEF-4D25-8EED-37B55B27D1C3}" name="ST8" dataDxfId="1869"/>
    <tableColumn id="17" xr3:uid="{33F804B2-FDD1-4F16-A82A-04604ECDCC35}" name="Comments" dataDxfId="1868"/>
  </tableColumns>
  <tableStyleInfo name="TableStyleLight1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EFA5A1-3E54-42CA-89B6-539396EBA43D}" name="Table12" displayName="Table12" ref="A5:I20" totalsRowShown="0" headerRowDxfId="1867" tableBorderDxfId="1866">
  <autoFilter ref="A5:I20" xr:uid="{C1DC213D-E22E-41C4-AAD1-1E326EB8938D}"/>
  <sortState xmlns:xlrd2="http://schemas.microsoft.com/office/spreadsheetml/2017/richdata2" ref="A6:I9">
    <sortCondition ref="D5:D9"/>
  </sortState>
  <tableColumns count="9">
    <tableColumn id="1" xr3:uid="{A6D544B9-3199-4FEC-9F5A-A9836E6C7798}" name="Course Number" dataDxfId="1865">
      <calculatedColumnFormula>"Found"&amp;TEXT(Table12[[#This Row],[Count]],"000")&amp;"."&amp;IF(Table12[[#This Row],[Category]]="Essential","E",IF(Table12[[#This Row],[Category]]="Discretionary","D","O"))</calculatedColumnFormula>
    </tableColumn>
    <tableColumn id="2" xr3:uid="{29A895F7-A2A9-4FB2-8122-C9F325634326}" name="Count" dataDxfId="1864">
      <calculatedColumnFormula>ROW()-ROW(Table12[[#Headers],[Count]])</calculatedColumnFormula>
    </tableColumn>
    <tableColumn id="8" xr3:uid="{16899813-C4FD-4053-ABF0-45758887D06A}" name="Specialty / Programme" dataDxfId="1863"/>
    <tableColumn id="3" xr3:uid="{847198E2-0535-4082-9101-B34C7A44AA53}" name="Event/Course Title" dataDxfId="1862"/>
    <tableColumn id="4" xr3:uid="{CFE61081-67EA-44CE-B8AC-E1D378811E3C}" name="Category" dataDxfId="1861"/>
    <tableColumn id="5" xr3:uid="{C4BC8BFA-72DE-4546-BD13-4162EF501725}" name="All" dataDxfId="1860"/>
    <tableColumn id="6" xr3:uid="{71B6C565-5C58-4788-AE85-E0D50F212F70}" name="FY1" dataDxfId="1859"/>
    <tableColumn id="7" xr3:uid="{46769E53-A356-4271-9444-21AA36040FC6}" name="FY2" dataDxfId="1858"/>
    <tableColumn id="17" xr3:uid="{020D596A-4A9A-475C-94A7-7D82D20B0B96}" name="Comments" dataDxfId="1857"/>
  </tableColumns>
  <tableStyleInfo name="TableStyleLight1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53800A48-B11A-41FC-8111-5F39BDFFECF0}" name="Table45" displayName="Table45" ref="A5:R9" totalsRowShown="0" headerRowDxfId="1856" tableBorderDxfId="1855">
  <autoFilter ref="A5:R9" xr:uid="{C1DC213D-E22E-41C4-AAD1-1E326EB8938D}"/>
  <sortState xmlns:xlrd2="http://schemas.microsoft.com/office/spreadsheetml/2017/richdata2" ref="A6:R9">
    <sortCondition ref="D5:D9"/>
  </sortState>
  <tableColumns count="18">
    <tableColumn id="1" xr3:uid="{E947D1D0-985A-45E5-B02C-47CF55384DC7}" name="Course Number" dataDxfId="1854">
      <calculatedColumnFormula>"OG"&amp;TEXT(Table45[[#This Row],[Count]],"000")&amp;"."&amp;IF(Table45[[#This Row],[Category]]="Cat 1","1",IF(Table45[[#This Row],[Category]]="Cat 2","2",IF(Table45[[#This Row],[Category]]="Cat 3","3","O")))</calculatedColumnFormula>
    </tableColumn>
    <tableColumn id="2" xr3:uid="{287873E9-917E-4307-83BB-3C05CCEAFB18}" name="Count" dataDxfId="1853">
      <calculatedColumnFormula>ROW()-ROW(Table45[[#Headers],[Count]])</calculatedColumnFormula>
    </tableColumn>
    <tableColumn id="18" xr3:uid="{6057FD73-0ED1-4AC5-B565-DE3009B755A2}" name="Specialty / Programme" dataDxfId="1852"/>
    <tableColumn id="3" xr3:uid="{A0FD6622-2B30-49A4-BDF8-761BD51D9A61}" name="Event/Course Title" dataDxfId="1851"/>
    <tableColumn id="4" xr3:uid="{D9017ED2-3051-4A56-9916-9B9E81C06E0B}" name="Category" dataDxfId="1850"/>
    <tableColumn id="5" xr3:uid="{6039DA99-2C03-40BE-9C4D-37F8C7729D1F}" name="All" dataDxfId="1849"/>
    <tableColumn id="6" xr3:uid="{678A9FD2-B91D-4E5B-A45A-43F83A620A62}" name="CT1" dataDxfId="1848"/>
    <tableColumn id="7" xr3:uid="{706FB1C4-1035-4EC2-ADF5-4EF2191B7692}" name="CT2" dataDxfId="1847"/>
    <tableColumn id="8" xr3:uid="{F9A5E722-A14F-4A23-ABC1-C9F79588FA0C}" name="CT3" dataDxfId="1846"/>
    <tableColumn id="9" xr3:uid="{C6A6871F-416C-4F2A-9EBD-D9157BF256A5}" name="ST1" dataDxfId="1845"/>
    <tableColumn id="10" xr3:uid="{A40703EA-CC53-41E4-99FC-2453BA4EA6B0}" name="ST2" dataDxfId="1844"/>
    <tableColumn id="11" xr3:uid="{1CF1CC46-7190-4C51-A5B1-0BC42A6C0937}" name="ST3" dataDxfId="1843"/>
    <tableColumn id="12" xr3:uid="{C8DBC1ED-2631-410A-B70D-E6BAE1D0D864}" name="ST4" dataDxfId="1842"/>
    <tableColumn id="13" xr3:uid="{E0020E9C-F707-44B1-BDBA-2CFC400061C0}" name="ST5" dataDxfId="1841"/>
    <tableColumn id="14" xr3:uid="{B4A9FECF-D397-459A-8E51-0F7E5FE155C1}" name="ST6" dataDxfId="1840"/>
    <tableColumn id="15" xr3:uid="{A0C81688-D7A6-4CA0-B6EF-04633AC8142C}" name="ST7" dataDxfId="1839"/>
    <tableColumn id="16" xr3:uid="{BD4363BA-5943-44B6-8663-B51163B0E217}" name="ST8" dataDxfId="1838"/>
    <tableColumn id="17" xr3:uid="{95A8619B-DFBA-42AE-9890-E3CF61137664}" name="Comments" dataDxfId="1837"/>
  </tableColumns>
  <tableStyleInfo name="TableStyleLight1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6A0BAF1-FA74-4473-B9DB-313EC15076E7}" name="Table46" displayName="Table46" ref="A13:R77" totalsRowShown="0" headerRowDxfId="1836" dataDxfId="1835">
  <autoFilter ref="A13:R77" xr:uid="{2B8F4669-61B9-479B-8403-96F1BCF220F5}"/>
  <sortState xmlns:xlrd2="http://schemas.microsoft.com/office/spreadsheetml/2017/richdata2" ref="A14:R17">
    <sortCondition ref="C13:C17"/>
  </sortState>
  <tableColumns count="18">
    <tableColumn id="1" xr3:uid="{F0D7B952-A8F9-4483-AF05-6F41644C4144}" name="Course Number" dataDxfId="1834">
      <calculatedColumnFormula>"OG"&amp;TEXT(Table46[[#This Row],[Count]],"000")&amp;"."&amp;IF(Table46[[#This Row],[Category]]="Cat 1","1",IF(Table46[[#This Row],[Category]]="Cat 2","2",IF(Table46[[#This Row],[Category]]="Cat 3","3","O")))</calculatedColumnFormula>
    </tableColumn>
    <tableColumn id="2" xr3:uid="{0292E651-9D90-4C28-9214-A42C14020AD4}" name="Count" dataDxfId="1833">
      <calculatedColumnFormula>MAX(Table45[Count])+ROWS(INDEX(Table46[Count],1):Table46[[#This Row],[Count]])</calculatedColumnFormula>
    </tableColumn>
    <tableColumn id="18" xr3:uid="{D7347599-68C0-4F67-BC35-E305537B6C7A}" name="Specialty / Programme" dataDxfId="1832"/>
    <tableColumn id="3" xr3:uid="{A03707A4-DE54-4FD8-A513-8B606D55BD81}" name="Event/Course Title" dataDxfId="1831"/>
    <tableColumn id="4" xr3:uid="{5EBBA224-AC7A-4049-B4BB-78ED045935A2}" name="Category" dataDxfId="1830"/>
    <tableColumn id="5" xr3:uid="{32331D77-C806-4A99-8315-15EDA4A24C6B}" name="All" dataDxfId="1829"/>
    <tableColumn id="6" xr3:uid="{98AB02C2-E1A5-4DD0-936B-8A381FEA70E5}" name="CT1" dataDxfId="1828"/>
    <tableColumn id="7" xr3:uid="{879977FA-85F0-464E-80C3-1E98921C3353}" name="CT2" dataDxfId="1827"/>
    <tableColumn id="8" xr3:uid="{68BAFF3E-1FB3-4E7E-8890-B5142D5D026F}" name="CT3" dataDxfId="1826"/>
    <tableColumn id="9" xr3:uid="{60637EC3-1961-450A-95B6-994D89CE47AE}" name="ST1" dataDxfId="1825"/>
    <tableColumn id="10" xr3:uid="{6C895204-49E7-45E4-AF9E-1FF13976B956}" name="ST2" dataDxfId="1824"/>
    <tableColumn id="11" xr3:uid="{1D385FAB-801A-4290-BE77-72CE2718F1CE}" name="ST3" dataDxfId="1823"/>
    <tableColumn id="12" xr3:uid="{93F4455F-ED4D-4A45-B95D-336488B0A5F6}" name="ST4" dataDxfId="1822"/>
    <tableColumn id="13" xr3:uid="{D275CD37-BF8B-41BC-B221-7951C2DF1376}" name="ST5" dataDxfId="1821"/>
    <tableColumn id="14" xr3:uid="{1ECE928F-8776-4B6C-9C4A-5A06E5BACA1F}" name="ST6" dataDxfId="1820"/>
    <tableColumn id="15" xr3:uid="{9FC80B72-9404-41D9-8476-EF238384DB7D}" name="ST7" dataDxfId="1819"/>
    <tableColumn id="16" xr3:uid="{EF7741EC-4EBB-40D6-B7D2-0BFF8491D32E}" name="ST8" dataDxfId="1818"/>
    <tableColumn id="17" xr3:uid="{F7A6E3CA-D4AE-42AD-B48C-4450EB6851A6}" name="Comments" dataDxfId="1817"/>
  </tableColumns>
  <tableStyleInfo name="TableStyleLight1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F7284E4-B89D-419D-AD97-24D2E9390733}" name="Table13" displayName="Table13" ref="A5:R11" totalsRowShown="0" headerRowDxfId="1816" tableBorderDxfId="1815">
  <autoFilter ref="A5:R11" xr:uid="{C1DC213D-E22E-41C4-AAD1-1E326EB8938D}"/>
  <sortState xmlns:xlrd2="http://schemas.microsoft.com/office/spreadsheetml/2017/richdata2" ref="A6:R11">
    <sortCondition ref="D5:D11"/>
  </sortState>
  <tableColumns count="18">
    <tableColumn id="1" xr3:uid="{5CF3D809-0877-4DB1-8B77-23E95D707234}" name="Course Number" dataDxfId="1814">
      <calculatedColumnFormula>"MED"&amp;TEXT(Table13[[#This Row],[Count]],"000")&amp;"."&amp;IF(Table13[[#This Row],[Category]]="Essential","E",IF(Table13[[#This Row],[Category]]="Discretionary","D","O"))</calculatedColumnFormula>
    </tableColumn>
    <tableColumn id="2" xr3:uid="{5D1978AB-FE1D-4897-9D8B-C18F40BFA880}" name="Count" dataDxfId="1813">
      <calculatedColumnFormula>ROW()-ROW(Table13[[#Headers],[Count]])</calculatedColumnFormula>
    </tableColumn>
    <tableColumn id="18" xr3:uid="{BEAB6083-5693-4C90-91B1-51142007CA4A}" name="Specialty / Programme" dataDxfId="1812"/>
    <tableColumn id="3" xr3:uid="{E35795ED-54C9-4B2E-AA64-5845694C0114}" name="Event/Course Title" dataDxfId="1811"/>
    <tableColumn id="4" xr3:uid="{E7ACDA15-8889-434E-964A-EA4A3BE72080}" name="Category" dataDxfId="1810"/>
    <tableColumn id="5" xr3:uid="{6FCDD3F4-B520-46F0-A534-2D0EB7EFEDDC}" name="All" dataDxfId="1809"/>
    <tableColumn id="6" xr3:uid="{23EA0C39-9939-40B5-A8B8-DACAF0DDC7BE}" name="CT1" dataDxfId="1808"/>
    <tableColumn id="7" xr3:uid="{7C3448D9-A5CA-4F0E-9F8C-AC5796AA3D6C}" name="CT2" dataDxfId="1807"/>
    <tableColumn id="8" xr3:uid="{E7CA46D0-D96B-478B-A49E-2F52A9B88BA1}" name="CT3" dataDxfId="1806"/>
    <tableColumn id="9" xr3:uid="{F51BD6E5-C3BA-4B24-949A-0B620CD996EB}" name="ST1" dataDxfId="1805"/>
    <tableColumn id="10" xr3:uid="{13B1D900-60A5-44B5-93A1-FC3D4B3C4621}" name="ST2" dataDxfId="1804"/>
    <tableColumn id="11" xr3:uid="{FA798250-9EB4-44BE-967D-05B6D272C2D8}" name="ST3" dataDxfId="1803"/>
    <tableColumn id="12" xr3:uid="{2E7C030D-5CDB-4880-87CC-47CD2755BD24}" name="ST4" dataDxfId="1802"/>
    <tableColumn id="13" xr3:uid="{FF7C79B2-8F85-45CD-BE19-0FA7B53489F6}" name="ST5" dataDxfId="1801"/>
    <tableColumn id="14" xr3:uid="{7D75955D-FC3D-4035-A5BC-78765E7755AA}" name="ST6" dataDxfId="1800"/>
    <tableColumn id="15" xr3:uid="{EB61E0D7-711E-484B-8BA1-BE3860FFED78}" name="ST7" dataDxfId="1799"/>
    <tableColumn id="16" xr3:uid="{65A78062-FF88-4CB8-9810-72E3A38A8697}" name="ST8" dataDxfId="1798"/>
    <tableColumn id="17" xr3:uid="{639207ED-2FF0-484F-B1B0-E346374AEE6A}" name="Comments" dataDxfId="1797"/>
  </tableColumns>
  <tableStyleInfo name="TableStyleLight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6210D0B-CDAB-4278-A961-C26F71BB555E}" name="Table14" displayName="Table14" ref="A15:R25" totalsRowShown="0" headerRowDxfId="1796" dataDxfId="1795">
  <autoFilter ref="A15:R25" xr:uid="{2B8F4669-61B9-479B-8403-96F1BCF220F5}"/>
  <sortState xmlns:xlrd2="http://schemas.microsoft.com/office/spreadsheetml/2017/richdata2" ref="A16:R25">
    <sortCondition ref="D15:D25"/>
  </sortState>
  <tableColumns count="18">
    <tableColumn id="1" xr3:uid="{CF50115D-BF1E-43D8-B044-99162E441FD8}" name="Course Number" dataDxfId="1794">
      <calculatedColumnFormula>"MED"&amp;TEXT(Table14[[#This Row],[Count]],"000")&amp;"."&amp;IF(Table14[[#This Row],[Category]]="Cat 1","1",IF(Table14[[#This Row],[Category]]="Cat 2","2",IF(Table14[[#This Row],[Category]]="Cat 3","3","O")))</calculatedColumnFormula>
    </tableColumn>
    <tableColumn id="2" xr3:uid="{872BC610-9A62-40EF-B34C-A84CDFEB220E}" name="Count" dataDxfId="1793">
      <calculatedColumnFormula>MAX(Table13[Count])+ROWS(INDEX(Table14[Count],1):Table14[[#This Row],[Count]])</calculatedColumnFormula>
    </tableColumn>
    <tableColumn id="18" xr3:uid="{D785F949-D3BB-4508-B407-46EA4E3EB942}" name="Specialty / Programme" dataDxfId="1792"/>
    <tableColumn id="3" xr3:uid="{924A8DEC-5D80-497A-8F5D-7374D5DB1165}" name="Event/Course Title" dataDxfId="1791"/>
    <tableColumn id="4" xr3:uid="{12946134-A510-4FD4-8B1D-3088C2C26DF6}" name="Category"/>
    <tableColumn id="5" xr3:uid="{CDED90D0-D04C-40FB-AF7D-B895B731742F}" name="All" dataDxfId="1790"/>
    <tableColumn id="6" xr3:uid="{E650D0FD-6AE7-4EB4-A77A-61620A038617}" name="CT1" dataDxfId="1789"/>
    <tableColumn id="7" xr3:uid="{7939BDE7-1DEE-4E7F-B3C0-A0D64BCA944E}" name="CT2" dataDxfId="1788"/>
    <tableColumn id="8" xr3:uid="{87AEBEA7-C663-46B9-8341-1314FE84F9BB}" name="CT3" dataDxfId="1787"/>
    <tableColumn id="9" xr3:uid="{2AE7FFC0-8F24-4C96-8018-99901306D961}" name="ST1" dataDxfId="1786"/>
    <tableColumn id="10" xr3:uid="{29059D10-5D06-460C-A768-F113627C81CB}" name="ST2" dataDxfId="1785"/>
    <tableColumn id="11" xr3:uid="{9A7460C6-1E52-4BED-9154-26DE39CB29FD}" name="ST3" dataDxfId="1784"/>
    <tableColumn id="12" xr3:uid="{DE29D99A-DC95-499A-862C-C9D75D6C4D2D}" name="ST4" dataDxfId="1783"/>
    <tableColumn id="13" xr3:uid="{455D0BAB-DF92-4527-BA6A-0973E35940C8}" name="ST5" dataDxfId="1782"/>
    <tableColumn id="14" xr3:uid="{A0CD9E2F-A7BC-465F-90FF-997C6CC72F4F}" name="ST6" dataDxfId="1781"/>
    <tableColumn id="15" xr3:uid="{43B97773-59C8-4038-A356-DBB7B442DD60}" name="ST7" dataDxfId="1780"/>
    <tableColumn id="16" xr3:uid="{04875344-DA49-4144-86F6-881B7FE46594}" name="ST8" dataDxfId="1779"/>
    <tableColumn id="17" xr3:uid="{23F82693-9312-403E-80E0-A3DB96FF102A}" name="Comments" dataDxfId="1778"/>
  </tableColumns>
  <tableStyleInfo name="TableStyleLight1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6B2E1F8-5E6F-4FB1-885E-32BDBAED1C03}" name="Table15" displayName="Table15" ref="A29:R69" totalsRowShown="0" headerRowDxfId="1777" dataDxfId="1776">
  <autoFilter ref="A29:R69" xr:uid="{130C7BCC-2908-48DD-9F39-896AAB1B079D}"/>
  <sortState xmlns:xlrd2="http://schemas.microsoft.com/office/spreadsheetml/2017/richdata2" ref="A30:R69">
    <sortCondition ref="D29:D69"/>
  </sortState>
  <tableColumns count="18">
    <tableColumn id="1" xr3:uid="{91E9E289-0651-4FEF-8763-E5F85758BE53}" name="Course Number" dataDxfId="1775">
      <calculatedColumnFormula>"MED"&amp;TEXT(Table15[[#This Row],[Count]],"000")&amp;"."&amp;IF(Table15[[#This Row],[Category]]="Cat 1","1",IF(Table15[[#This Row],[Category]]="Cat 2","2",IF(Table15[[#This Row],[Category]]="Cat 3","3","O")))</calculatedColumnFormula>
    </tableColumn>
    <tableColumn id="2" xr3:uid="{812425B0-58C3-4E71-908E-622F04F4D5AF}" name="Count" dataDxfId="1774">
      <calculatedColumnFormula>MAX(Table14[Count])+ROWS(INDEX(Table15[Count],1):Table15[[#This Row],[Count]])</calculatedColumnFormula>
    </tableColumn>
    <tableColumn id="18" xr3:uid="{2E77AA56-4267-4BB1-82E5-9AAFD3C4289C}" name="Specialty / Programme" dataDxfId="1773"/>
    <tableColumn id="3" xr3:uid="{F98338A1-C01C-45E0-9B53-7BE3309DA1FF}" name="Event/Course Title" dataDxfId="1772"/>
    <tableColumn id="4" xr3:uid="{91C8EA0E-BECA-4E60-BF0E-D799F7E6E7EC}" name="Category" dataDxfId="1771"/>
    <tableColumn id="5" xr3:uid="{696BBBF7-8B43-4272-B79F-78E180A7EBD9}" name="All" dataDxfId="1770"/>
    <tableColumn id="6" xr3:uid="{063B5C15-6099-41BE-9346-497775CCA371}" name="CT1" dataDxfId="1769"/>
    <tableColumn id="7" xr3:uid="{2AD0D2E5-21CC-4299-9ACD-EE476B03D516}" name="CT2" dataDxfId="1768"/>
    <tableColumn id="8" xr3:uid="{AF72B387-934D-4961-9794-35F6DB0DF5EA}" name="CT3" dataDxfId="1767"/>
    <tableColumn id="9" xr3:uid="{70696158-5931-402C-8D1B-7F50419989D0}" name="ST1" dataDxfId="1766"/>
    <tableColumn id="10" xr3:uid="{08982689-AC01-40AA-A279-E0F026030098}" name="ST2" dataDxfId="1765"/>
    <tableColumn id="11" xr3:uid="{C6BA92BD-0AD3-48C0-92A0-61553D66638B}" name="ST3" dataDxfId="1764"/>
    <tableColumn id="12" xr3:uid="{84180C54-AD20-44B7-897E-9836E527410E}" name="ST4" dataDxfId="1763"/>
    <tableColumn id="13" xr3:uid="{880C1FBC-05CA-46BE-ACAF-0E54CF99274C}" name="ST5" dataDxfId="1762"/>
    <tableColumn id="14" xr3:uid="{3999B9C0-136D-4661-B58F-CB552EB4377A}" name="ST6" dataDxfId="1761"/>
    <tableColumn id="15" xr3:uid="{D53DE84A-360F-4DC1-9328-4E920B61D5E1}" name="ST7" dataDxfId="1760"/>
    <tableColumn id="16" xr3:uid="{8438E871-DB89-434B-9FA6-00FF90A1CFBA}" name="ST8" dataDxfId="1759"/>
    <tableColumn id="17" xr3:uid="{0984EB9B-DE3D-465A-AA04-9C4C372CAE60}" name="Comments" dataDxfId="1758"/>
  </tableColumns>
  <tableStyleInfo name="TableStyleLight1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0E48662-5FE5-4263-B0FC-0D6650490A1C}" name="Table16" displayName="Table16" ref="A73:R95" totalsRowShown="0" headerRowDxfId="1757" dataDxfId="1756">
  <autoFilter ref="A73:R95" xr:uid="{F24C6658-CB11-40B8-8945-AA9BB11A1DB6}"/>
  <sortState xmlns:xlrd2="http://schemas.microsoft.com/office/spreadsheetml/2017/richdata2" ref="A74:R94">
    <sortCondition ref="D73:D94"/>
  </sortState>
  <tableColumns count="18">
    <tableColumn id="1" xr3:uid="{A9900248-B58D-40AD-935A-6C1AAE29C966}" name="Course Number" dataDxfId="1755">
      <calculatedColumnFormula>"MED"&amp;TEXT(Table16[[#This Row],[Count]],"000")&amp;"."&amp;IF(Table16[[#This Row],[Category]]="Cat 1","1",IF(Table16[[#This Row],[Category]]="Cat 2","2",IF(Table16[[#This Row],[Category]]="Cat 3","3","O")))</calculatedColumnFormula>
    </tableColumn>
    <tableColumn id="2" xr3:uid="{25980754-6288-4575-B1CC-04FB197472D3}" name="Count" dataDxfId="1754">
      <calculatedColumnFormula>MAX(Table15[Count])+ROWS(INDEX(Table16[Count],1):Table16[[#This Row],[Count]])</calculatedColumnFormula>
    </tableColumn>
    <tableColumn id="18" xr3:uid="{109511CC-960F-4CF5-ABB4-D454A3F4AE02}" name="Specialty / Programme" dataDxfId="1753"/>
    <tableColumn id="3" xr3:uid="{52B8FCDA-49F6-41D4-8F39-3BD3CDDFCDBC}" name="Event/Course Title" dataDxfId="1752"/>
    <tableColumn id="4" xr3:uid="{5B2C4F63-233F-43BB-9B2C-8389A46DA546}" name="Category" dataDxfId="1751"/>
    <tableColumn id="5" xr3:uid="{6A81D74C-DCD9-42A3-B6C0-47D287F07B35}" name="All" dataDxfId="1750"/>
    <tableColumn id="6" xr3:uid="{8B38AD13-B1F7-4A29-8114-1E4796FADD7D}" name="CT1" dataDxfId="1749"/>
    <tableColumn id="7" xr3:uid="{62396564-93F5-45DD-88A0-8EA58A311DA7}" name="CT2" dataDxfId="1748"/>
    <tableColumn id="8" xr3:uid="{4D4255C0-8767-4998-97F7-5A47F3D2F90D}" name="CT3" dataDxfId="1747"/>
    <tableColumn id="9" xr3:uid="{D0B4EBD0-2E0A-41E5-A62B-A2FF99DEE74E}" name="ST1" dataDxfId="1746"/>
    <tableColumn id="10" xr3:uid="{17D73D49-33BD-414B-BD83-279B86721FFF}" name="ST2" dataDxfId="1745"/>
    <tableColumn id="11" xr3:uid="{F7CB0D63-A5AD-45AD-A68F-78EA913CCBD3}" name="ST3" dataDxfId="1744"/>
    <tableColumn id="12" xr3:uid="{774AC069-C82F-4FB4-96F6-1CFD1EEF39CD}" name="ST4" dataDxfId="1743"/>
    <tableColumn id="13" xr3:uid="{DD12C1E9-B4C3-4D22-A481-694FCBA8EF1A}" name="ST5" dataDxfId="1742"/>
    <tableColumn id="14" xr3:uid="{577443EC-7683-408B-A63E-8587FE29B0C7}" name="ST6" dataDxfId="1741"/>
    <tableColumn id="15" xr3:uid="{FAA594F8-2E92-42DE-AC01-962EC22E4EE8}" name="ST7" dataDxfId="1740"/>
    <tableColumn id="16" xr3:uid="{C2A40275-6F87-44A9-874A-FA080FF85117}" name="ST8" dataDxfId="1739"/>
    <tableColumn id="17" xr3:uid="{DFBA5144-2144-4391-BB11-288B02D60A7A}" name="Comments" dataDxfId="1738"/>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DC213D-E22E-41C4-AAD1-1E326EB8938D}" name="Table1" displayName="Table1" ref="A5:R28" totalsRowShown="0" headerRowDxfId="2087" tableBorderDxfId="2086">
  <autoFilter ref="A5:R28" xr:uid="{C1DC213D-E22E-41C4-AAD1-1E326EB8938D}"/>
  <sortState xmlns:xlrd2="http://schemas.microsoft.com/office/spreadsheetml/2017/richdata2" ref="A6:R21">
    <sortCondition ref="D5:D21"/>
  </sortState>
  <tableColumns count="18">
    <tableColumn id="1" xr3:uid="{6E8D1059-AB5A-4FE3-950D-34E5EF9820F7}" name="Course Number" dataDxfId="2085">
      <calculatedColumnFormula>"ANA"&amp;TEXT(Table1[[#This Row],[Count]],"000")&amp;"."&amp;IF(Table1[[#This Row],[Category]]="Essential","E",IF(Table1[[#This Row],[Category]]="Discretionary","D","O"))</calculatedColumnFormula>
    </tableColumn>
    <tableColumn id="2" xr3:uid="{61B683FE-0CBC-4C01-A109-70949658E123}" name="Count" dataDxfId="2084">
      <calculatedColumnFormula>MAX(Table1[Count])+ROWS(INDEX(Table2[Count],1):Table2[[#This Row],[Count]])</calculatedColumnFormula>
    </tableColumn>
    <tableColumn id="18" xr3:uid="{B40E7B9E-A095-4C36-B269-9381185501B0}" name="Specialty / Programme" dataDxfId="2083"/>
    <tableColumn id="3" xr3:uid="{F1AAA6C3-6874-493B-AFBB-B8485757B283}" name="Event/Course Title" dataDxfId="2082"/>
    <tableColumn id="4" xr3:uid="{20265674-3713-4A67-A3EB-EC9014A253A7}" name="Category" dataDxfId="2081"/>
    <tableColumn id="5" xr3:uid="{87E1F86D-891C-4C91-A72B-D20A27CB9F84}" name="All" dataDxfId="2080"/>
    <tableColumn id="6" xr3:uid="{50A1FE2B-8B7C-46C4-BE37-18028DBDF717}" name="CT1" dataDxfId="2079"/>
    <tableColumn id="7" xr3:uid="{0B272313-AEFC-4656-9AD2-2B29C14B460F}" name="CT2" dataDxfId="2078"/>
    <tableColumn id="8" xr3:uid="{F3F90A22-664B-4744-8FF6-5D7BEBEA1CA5}" name="CT3" dataDxfId="2077"/>
    <tableColumn id="9" xr3:uid="{15C33521-579F-47DE-9252-5DC0964DB749}" name="ST1" dataDxfId="2076"/>
    <tableColumn id="10" xr3:uid="{591A1F74-A797-4EEA-9736-AC289D15B27D}" name="ST2" dataDxfId="2075"/>
    <tableColumn id="11" xr3:uid="{5F2545DE-A6AC-4DD0-82C7-B2A294DC5E6A}" name="ST3" dataDxfId="2074"/>
    <tableColumn id="12" xr3:uid="{B95321A6-8295-4519-8AE9-2894CC38CF42}" name="ST4" dataDxfId="2073"/>
    <tableColumn id="13" xr3:uid="{60939689-61CD-4650-93E2-77A55AAD60E6}" name="ST5" dataDxfId="2072"/>
    <tableColumn id="14" xr3:uid="{62596C3F-4E01-4CBA-8E21-6733170B4330}" name="ST6" dataDxfId="2071"/>
    <tableColumn id="15" xr3:uid="{8EDBCDC2-1D30-45EB-BDBC-4A03826A53F8}" name="ST7" dataDxfId="2070"/>
    <tableColumn id="16" xr3:uid="{6C911B26-3585-4504-8EC6-A38D7918F58D}" name="ST8" dataDxfId="2069"/>
    <tableColumn id="17" xr3:uid="{50A6A816-8CBC-45FC-98D3-9CE2976338F9}" name="Comments" dataDxfId="2068"/>
  </tableColumns>
  <tableStyleInfo name="TableStyleLight1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EA2D32-36E6-4F44-A054-FC6BE9D6DA75}" name="Table17" displayName="Table17" ref="A98:R104" totalsRowShown="0" headerRowDxfId="1737">
  <autoFilter ref="A98:R104" xr:uid="{89EA2D32-36E6-4F44-A054-FC6BE9D6DA75}"/>
  <sortState xmlns:xlrd2="http://schemas.microsoft.com/office/spreadsheetml/2017/richdata2" ref="A99:R104">
    <sortCondition ref="D98:D104"/>
  </sortState>
  <tableColumns count="18">
    <tableColumn id="1" xr3:uid="{B1F0FA51-7722-442D-89D7-0C399D5F8D89}" name="Course Number" dataDxfId="1736">
      <calculatedColumnFormula>"MED"&amp;TEXT(Table17[[#This Row],[Count]],"000")&amp;"."&amp;IF(Table17[[#This Row],[Category]]="Cat 1","1",IF(Table17[[#This Row],[Category]]="Cat 2","2",IF(Table17[[#This Row],[Category]]="Cat 3","3","O")))</calculatedColumnFormula>
    </tableColumn>
    <tableColumn id="2" xr3:uid="{0DC55578-C570-4ADA-8BE1-AD39E5E78D8B}" name="Count" dataDxfId="1735">
      <calculatedColumnFormula>MAX(Table16[Count])+ROWS(INDEX(Table17[Count],1):Table17[[#This Row],[Count]])</calculatedColumnFormula>
    </tableColumn>
    <tableColumn id="3" xr3:uid="{5AC77758-FDBC-44F0-9CA3-2208BB060D70}" name="Specialty / Programme" dataDxfId="1734"/>
    <tableColumn id="4" xr3:uid="{CBAE513D-915C-47A4-AF86-41C57CEBD522}" name="Event/Course Title" dataDxfId="1733"/>
    <tableColumn id="5" xr3:uid="{387DA8FC-29FB-479E-B25A-CB71D0094417}" name="Category" dataDxfId="1732"/>
    <tableColumn id="6" xr3:uid="{3E9E0C32-C228-4EDA-B31A-65ED19F45825}" name="All" dataDxfId="1731"/>
    <tableColumn id="7" xr3:uid="{96C52AB6-E6D8-43EF-AEDD-D73F6A767D4B}" name="CT1" dataDxfId="1730"/>
    <tableColumn id="8" xr3:uid="{E76C6758-94BB-4548-9426-E0C915A034AA}" name="CT2" dataDxfId="1729"/>
    <tableColumn id="9" xr3:uid="{FD2CF366-5505-4738-A712-67A9EED67815}" name="CT3" dataDxfId="1728"/>
    <tableColumn id="10" xr3:uid="{F9A00532-F1C1-48DF-8FCB-F49EAB6E65DE}" name="ST1" dataDxfId="1727"/>
    <tableColumn id="11" xr3:uid="{A1C0EE1E-1FA6-4FC2-8591-0522A137A427}" name="ST2" dataDxfId="1726"/>
    <tableColumn id="12" xr3:uid="{A30FAF7E-4E65-4F61-9372-800DD34A0FCF}" name="ST3" dataDxfId="1725"/>
    <tableColumn id="13" xr3:uid="{79324064-5D24-4C62-9BC6-962F3348D31F}" name="ST4" dataDxfId="1724"/>
    <tableColumn id="14" xr3:uid="{4E68FC65-96A2-4370-9D36-A868325A83D6}" name="ST5" dataDxfId="1723"/>
    <tableColumn id="15" xr3:uid="{2FA7A7DA-E4B8-4FDC-B265-9A336EE781E0}" name="ST6" dataDxfId="1722"/>
    <tableColumn id="16" xr3:uid="{EC4B7309-95B1-46C2-AD76-A0E1B689AF2B}" name="ST7" dataDxfId="1721"/>
    <tableColumn id="17" xr3:uid="{FDA11877-FAE3-4ABA-BA63-41EF85EE158C}" name="ST8" dataDxfId="1720"/>
    <tableColumn id="18" xr3:uid="{7B14B851-C031-44C8-925B-BA5575C88EED}" name="Comments" dataDxfId="1719"/>
  </tableColumns>
  <tableStyleInfo name="TableStyleLight1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30FDD2E-BA7F-4819-89A9-711C9526F97D}" name="Table18" displayName="Table18" ref="A108:R145" insertRowShift="1" totalsRowShown="0" headerRowDxfId="1718" dataDxfId="1717">
  <autoFilter ref="A108:R145" xr:uid="{530FDD2E-BA7F-4819-89A9-711C9526F97D}"/>
  <tableColumns count="18">
    <tableColumn id="1" xr3:uid="{62E18FEE-0E26-42D6-A86E-E37BB52D221E}" name="Course Number" dataDxfId="1716">
      <calculatedColumnFormula>"MED"&amp;TEXT(Table18[[#This Row],[Count]],"000")&amp;"."&amp;IF(Table18[[#This Row],[Category]]="Cat 1","1",IF(Table18[[#This Row],[Category]]="Cat 2","2",IF(Table18[[#This Row],[Category]]="Cat 3","3","O")))</calculatedColumnFormula>
    </tableColumn>
    <tableColumn id="2" xr3:uid="{DE317011-D522-4E4E-B08F-1E45C86C6898}" name="Count" dataDxfId="1715">
      <calculatedColumnFormula>MAX(Table17[Count])+ROWS(INDEX(Table18[Count],1):Table18[[#This Row],[Count]])</calculatedColumnFormula>
    </tableColumn>
    <tableColumn id="3" xr3:uid="{FB3ECBF3-FA8D-465D-B707-6D1020E6C519}" name="Specialty / Programme" dataDxfId="1714"/>
    <tableColumn id="4" xr3:uid="{77A2FE0A-C68E-466C-AEAA-87FBF46096EF}" name="Event/Course Title" dataDxfId="1713"/>
    <tableColumn id="5" xr3:uid="{D8BF03AE-EA71-467E-8BEA-53543B4DA091}" name="Category" dataDxfId="1712"/>
    <tableColumn id="6" xr3:uid="{1263322F-6C46-4328-A044-11D54B3B32F3}" name="All" dataDxfId="1711"/>
    <tableColumn id="7" xr3:uid="{414041A9-1A35-4006-AD46-8A4AB0333A32}" name="CT1" dataDxfId="1710"/>
    <tableColumn id="8" xr3:uid="{D10CE907-B33C-4C2D-88F7-2E312A20C0C7}" name="CT2" dataDxfId="1709"/>
    <tableColumn id="9" xr3:uid="{2AC14774-787B-4341-89D8-56356CE5734F}" name="CT3" dataDxfId="1708"/>
    <tableColumn id="10" xr3:uid="{D40B1142-E915-40EE-A919-1304EAE5CBB9}" name="ST1" dataDxfId="1707"/>
    <tableColumn id="11" xr3:uid="{8E91B7E0-D6EB-426F-AC46-F3563FF7B1C8}" name="ST2" dataDxfId="1706"/>
    <tableColumn id="12" xr3:uid="{2E11244A-FA13-4665-86FC-B72DF01B6B6D}" name="ST3" dataDxfId="1705"/>
    <tableColumn id="13" xr3:uid="{132A111A-05AE-494C-BAEA-2136E08B9CEC}" name="ST4" dataDxfId="1704"/>
    <tableColumn id="14" xr3:uid="{4E971359-4A21-45A9-B9A3-0F281E83C9EB}" name="ST5" dataDxfId="1703"/>
    <tableColumn id="15" xr3:uid="{A5668AD8-EBCD-4F20-8388-2965DA09255C}" name="ST6" dataDxfId="1702"/>
    <tableColumn id="16" xr3:uid="{1EB71056-ABAF-48BD-88AB-462C253F2AFC}" name="ST7" dataDxfId="1701"/>
    <tableColumn id="17" xr3:uid="{8E097CE8-63C0-4924-B583-8E085B6483B9}" name="ST8" dataDxfId="1700"/>
    <tableColumn id="18" xr3:uid="{795FE657-C5D9-49D3-9CCD-A0705DC06A95}" name="Comments" dataDxfId="1699"/>
  </tableColumns>
  <tableStyleInfo name="TableStyleLight1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EE0E5AC-3DF2-4C2A-AB59-4B7DF1EAF7E8}" name="Table19" displayName="Table19" ref="A149:R193" insertRowShift="1" totalsRowShown="0" headerRowDxfId="1698" dataDxfId="1697">
  <autoFilter ref="A149:R193" xr:uid="{3EE0E5AC-3DF2-4C2A-AB59-4B7DF1EAF7E8}"/>
  <tableColumns count="18">
    <tableColumn id="1" xr3:uid="{4546F459-2943-488D-8BA1-67F97A9F1263}" name="Course Number" dataDxfId="1696">
      <calculatedColumnFormula>"MED"&amp;TEXT(Table19[[#This Row],[Count]],"000")&amp;"."&amp;IF(Table19[[#This Row],[Category]]="Cat 1","1",IF(Table19[[#This Row],[Category]]="Cat 2","2",IF(Table19[[#This Row],[Category]]="Cat 3","3","O")))</calculatedColumnFormula>
    </tableColumn>
    <tableColumn id="2" xr3:uid="{B203D1C1-1BF9-4DEB-92CA-575CE9BBE5F7}" name="Count" dataDxfId="1695">
      <calculatedColumnFormula>MAX(Table18[Count])+ROWS(INDEX(Table19[Count],1):Table19[[#This Row],[Count]])</calculatedColumnFormula>
    </tableColumn>
    <tableColumn id="3" xr3:uid="{FE3EA3AF-D168-4278-B051-BBBC98F5D61B}" name="Specialty / Programme" dataDxfId="1694"/>
    <tableColumn id="4" xr3:uid="{C4F9E504-1299-4882-A28A-DB82A4F7D650}" name="Event/Course Title" dataDxfId="1693"/>
    <tableColumn id="5" xr3:uid="{27B42815-A5DC-4F30-9D4D-D94F8C4EAF02}" name="Category" dataDxfId="1692"/>
    <tableColumn id="6" xr3:uid="{34A19352-8C62-47F5-A2A5-6D06B4D875EF}" name="All" dataDxfId="1691"/>
    <tableColumn id="7" xr3:uid="{812391F3-AED9-488C-ADDD-28E8B8030D71}" name="CT1" dataDxfId="1690"/>
    <tableColumn id="8" xr3:uid="{F551D06A-8472-40AB-BD1F-29507A2DDB46}" name="CT2" dataDxfId="1689"/>
    <tableColumn id="9" xr3:uid="{05EBF805-6838-4492-8A99-E8655424DF9A}" name="CT3" dataDxfId="1688"/>
    <tableColumn id="10" xr3:uid="{47FAB4ED-8400-40DB-A21E-9F3889B94F1A}" name="ST1" dataDxfId="1687"/>
    <tableColumn id="11" xr3:uid="{D04B15CD-86E5-4F2A-9A46-DEF9807303C6}" name="ST2" dataDxfId="1686"/>
    <tableColumn id="12" xr3:uid="{9F51071E-3536-435B-AAF8-478217D18734}" name="ST3" dataDxfId="1685"/>
    <tableColumn id="13" xr3:uid="{B79C444C-05B6-4B2D-ADFA-B33418606460}" name="ST4" dataDxfId="1684"/>
    <tableColumn id="14" xr3:uid="{48D56FB8-D1C9-4353-8C1A-A28648ADB396}" name="ST5" dataDxfId="1683"/>
    <tableColumn id="15" xr3:uid="{F64AB1EA-4C3C-4F1B-AB72-866422007BDA}" name="ST6" dataDxfId="1682"/>
    <tableColumn id="16" xr3:uid="{F3672DF9-A235-4270-96BD-1287431E84F5}" name="ST7" dataDxfId="1681"/>
    <tableColumn id="17" xr3:uid="{06EDCDD0-4A2B-4CDC-9417-233F96FC44B9}" name="ST8" dataDxfId="1680"/>
    <tableColumn id="18" xr3:uid="{94D4FBF3-C8AE-4B7D-8D71-5CF4FA6C7B85}" name="Comments" dataDxfId="1679"/>
  </tableColumns>
  <tableStyleInfo name="TableStyleLight1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B975FF-7CBF-4704-B3EC-B3BBA3BCF9D9}" name="Table21" displayName="Table21" ref="A231:R254" insertRowShift="1" totalsRowShown="0" headerRowDxfId="1678" dataDxfId="1677">
  <autoFilter ref="A231:R254" xr:uid="{86B975FF-7CBF-4704-B3EC-B3BBA3BCF9D9}"/>
  <tableColumns count="18">
    <tableColumn id="1" xr3:uid="{DBFABB8B-9FE3-40EF-B4D0-D08498208781}" name="Course Number" dataDxfId="1676">
      <calculatedColumnFormula>"MED"&amp;TEXT(Table21[[#This Row],[Count]],"000")&amp;"."&amp;IF(Table21[[#This Row],[Category]]="Cat 1","1",IF(Table21[[#This Row],[Category]]="Cat 2","2",IF(Table21[[#This Row],[Category]]="Cat 3","3","O")))</calculatedColumnFormula>
    </tableColumn>
    <tableColumn id="2" xr3:uid="{4103F854-89CA-4F58-AE3E-742009EA1C21}" name="Count" dataDxfId="1675">
      <calculatedColumnFormula>MAX(Table20[Count])+ROWS(INDEX(Table21[Count],1):Table21[[#This Row],[Count]])</calculatedColumnFormula>
    </tableColumn>
    <tableColumn id="3" xr3:uid="{E4BE7443-2867-4274-9B3B-EA530CA55938}" name="Specialty / Programme" dataDxfId="1674"/>
    <tableColumn id="4" xr3:uid="{D3FCA9A4-194F-41FC-A1BC-5B785865805D}" name="Event/Course Title" dataDxfId="1673"/>
    <tableColumn id="5" xr3:uid="{5B1EA6DE-38DA-459E-B230-C73D6FD35F7F}" name="Category" dataDxfId="1672"/>
    <tableColumn id="6" xr3:uid="{B5847CE0-FC45-4275-AFE1-BE5028585E44}" name="All" dataDxfId="1671"/>
    <tableColumn id="7" xr3:uid="{D9005580-037F-4D61-ADF7-D2562CE66AF4}" name="CT1" dataDxfId="1670"/>
    <tableColumn id="8" xr3:uid="{BD13080D-2987-484B-B5C3-4E8E3CBF49B8}" name="CT2" dataDxfId="1669"/>
    <tableColumn id="9" xr3:uid="{3D510AA4-67FC-4843-8220-3D1692D60338}" name="CT3" dataDxfId="1668"/>
    <tableColumn id="10" xr3:uid="{0F81ACC6-4F68-4095-8DD1-E04758FAA63B}" name="ST1" dataDxfId="1667"/>
    <tableColumn id="11" xr3:uid="{FF9DE093-E86F-4036-A88C-C41187EA9E99}" name="ST2" dataDxfId="1666"/>
    <tableColumn id="12" xr3:uid="{DA186762-FE53-492B-A47B-1ED25E2A8336}" name="ST3" dataDxfId="1665"/>
    <tableColumn id="13" xr3:uid="{215C38B4-C6F3-452A-B472-FEA21A31A284}" name="ST4" dataDxfId="1664"/>
    <tableColumn id="14" xr3:uid="{299FA687-A582-4DA8-87BD-C571744C7915}" name="ST5" dataDxfId="1663"/>
    <tableColumn id="15" xr3:uid="{3ED69B8D-0350-427E-870B-B390C64D02D6}" name="ST6" dataDxfId="1662"/>
    <tableColumn id="16" xr3:uid="{FF2BCAAD-C3EC-4001-8E22-B549A2CEA998}" name="ST7" dataDxfId="1661"/>
    <tableColumn id="17" xr3:uid="{5E696386-F5B4-49B9-BDB0-0535F4EE7236}" name="ST8" dataDxfId="1660"/>
    <tableColumn id="18" xr3:uid="{E4169F75-2C4C-4D50-B987-F05FCE1C79F4}" name="Comments" dataDxfId="1659"/>
  </tableColumns>
  <tableStyleInfo name="TableStyleLight16"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B3E9978-A605-4661-A088-2D5A2026ED61}" name="Table20" displayName="Table20" ref="A197:R227" insertRowShift="1" totalsRowShown="0" headerRowDxfId="1658" dataDxfId="1657">
  <autoFilter ref="A197:R227" xr:uid="{CB3E9978-A605-4661-A088-2D5A2026ED61}"/>
  <sortState xmlns:xlrd2="http://schemas.microsoft.com/office/spreadsheetml/2017/richdata2" ref="A198:R227">
    <sortCondition ref="D197:D227"/>
  </sortState>
  <tableColumns count="18">
    <tableColumn id="1" xr3:uid="{7DF87D10-3DC6-4470-856D-3CB01185C73B}" name="Course Number" dataDxfId="1656">
      <calculatedColumnFormula>"MED"&amp;TEXT(Table20[[#This Row],[Count]],"000")&amp;"."&amp;IF(Table20[[#This Row],[Category]]="Cat 1","1",IF(Table20[[#This Row],[Category]]="Cat 2","2",IF(Table20[[#This Row],[Category]]="Cat 3","3","O")))</calculatedColumnFormula>
    </tableColumn>
    <tableColumn id="2" xr3:uid="{37404D6F-FB87-41A2-863A-0CAF25FF8BB1}" name="Count" dataDxfId="1655">
      <calculatedColumnFormula>MAX(Table19[Count])+ROWS(INDEX(Table20[Count],1):Table20[[#This Row],[Count]])</calculatedColumnFormula>
    </tableColumn>
    <tableColumn id="3" xr3:uid="{FD756837-FCB4-4270-9F61-1F21C3CC8E09}" name="Specialty / Programme" dataDxfId="1654"/>
    <tableColumn id="4" xr3:uid="{14F4B7E2-5043-4EBD-BC45-890242451933}" name="Event/Course Title" dataDxfId="1653"/>
    <tableColumn id="5" xr3:uid="{B2565B66-4594-4AD6-A54D-01C9347603DE}" name="Category" dataDxfId="1652"/>
    <tableColumn id="6" xr3:uid="{1F4BF814-BD70-4EBC-AA33-CD53CEC60761}" name="All" dataDxfId="1651"/>
    <tableColumn id="7" xr3:uid="{F5C1471F-59D9-471A-BB8D-791E0D7A907C}" name="CT1" dataDxfId="1650"/>
    <tableColumn id="8" xr3:uid="{9D35D722-B653-46A7-B10E-8D36ECDD3873}" name="CT2" dataDxfId="1649"/>
    <tableColumn id="9" xr3:uid="{A0ED2C64-E7E9-4707-9E84-FF547E091739}" name="CT3" dataDxfId="1648"/>
    <tableColumn id="10" xr3:uid="{C9340AF7-D155-429A-98AA-3B06CB5529DF}" name="ST1" dataDxfId="1647"/>
    <tableColumn id="11" xr3:uid="{7B6B7049-3337-435B-B941-0FD3DC8B3E69}" name="ST2" dataDxfId="1646"/>
    <tableColumn id="12" xr3:uid="{0D10881F-D26A-4DE1-B331-FB9931EE00C0}" name="ST3" dataDxfId="1645"/>
    <tableColumn id="13" xr3:uid="{DF947D1A-E1A0-4592-A5DD-DAF9C87CBD4E}" name="ST4" dataDxfId="1644"/>
    <tableColumn id="14" xr3:uid="{24BC8B25-D53E-43ED-82EC-7422DFF5E021}" name="ST5" dataDxfId="1643"/>
    <tableColumn id="15" xr3:uid="{21F8C903-DF56-4899-8F8C-2B918F0A6D1B}" name="ST6" dataDxfId="1642"/>
    <tableColumn id="16" xr3:uid="{DF7E9002-C997-4C3B-8792-AEF6B7EA2B3F}" name="ST7" dataDxfId="1641"/>
    <tableColumn id="17" xr3:uid="{3D80B276-E67F-4D96-A9C1-227DC4C4FA3B}" name="ST8" dataDxfId="1640"/>
    <tableColumn id="18" xr3:uid="{F3C2A95F-3036-4648-BFA1-BF33E443E42C}" name="Comments" dataDxfId="1639"/>
  </tableColumns>
  <tableStyleInfo name="TableStyleLight1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5D7EA6B-D022-4E71-A163-25F954DECE04}" name="Table23" displayName="Table23" ref="A283:R311" insertRowShift="1" totalsRowShown="0" headerRowDxfId="1638" dataDxfId="1637">
  <autoFilter ref="A283:R311" xr:uid="{95D7EA6B-D022-4E71-A163-25F954DECE04}"/>
  <tableColumns count="18">
    <tableColumn id="1" xr3:uid="{026B9860-0963-4D2D-AB9D-44793E9FC73C}" name="Course Number" dataDxfId="1636">
      <calculatedColumnFormula>"MED"&amp;TEXT(Table23[[#This Row],[Count]],"000")&amp;"."&amp;IF(Table23[[#This Row],[Category]]="Cat 1","1",IF(Table23[[#This Row],[Category]]="Cat 2","2",IF(Table23[[#This Row],[Category]]="Cat 3","3","O")))</calculatedColumnFormula>
    </tableColumn>
    <tableColumn id="2" xr3:uid="{3CB4AC5E-F5A5-42BD-A29F-168600439164}" name="Count" dataDxfId="1635">
      <calculatedColumnFormula>MAX(Table22[Count])+ROWS(INDEX(Table23[Count],1):Table23[[#This Row],[Count]])</calculatedColumnFormula>
    </tableColumn>
    <tableColumn id="3" xr3:uid="{5767FCFA-7C88-4C31-A624-A9D7B53E102D}" name="Specialty / Programme" dataDxfId="1634"/>
    <tableColumn id="4" xr3:uid="{F223F9E4-1E5B-4B06-B513-A67D6CBD6E62}" name="Event/Course Title" dataDxfId="1633"/>
    <tableColumn id="5" xr3:uid="{F99C4B63-B078-4C12-AD0A-CF6606A8D434}" name="Category" dataDxfId="1632"/>
    <tableColumn id="6" xr3:uid="{944C80AB-688B-422D-8B2A-7C6FCF5F3185}" name="All" dataDxfId="1631"/>
    <tableColumn id="7" xr3:uid="{01750467-F594-410E-8DC7-40DA2124C785}" name="CT1" dataDxfId="1630"/>
    <tableColumn id="8" xr3:uid="{3489E840-0D16-46E2-A031-7CD736C09BB1}" name="CT2" dataDxfId="1629"/>
    <tableColumn id="9" xr3:uid="{19754745-9A8C-45C5-8E3A-CE271AEFAAC1}" name="CT3" dataDxfId="1628"/>
    <tableColumn id="10" xr3:uid="{303B6BFD-1AB2-4FC3-BEF8-234E4BCE68E6}" name="ST1" dataDxfId="1627"/>
    <tableColumn id="11" xr3:uid="{A5532AD2-893F-44ED-8376-1F3E308DFA14}" name="ST2" dataDxfId="1626"/>
    <tableColumn id="12" xr3:uid="{114BE5D5-9021-4B80-AA97-DC6911A05BF9}" name="ST3" dataDxfId="1625"/>
    <tableColumn id="13" xr3:uid="{46F9DC07-D5D1-4C75-81D1-7E78583982D7}" name="ST4" dataDxfId="1624"/>
    <tableColumn id="14" xr3:uid="{8AC6F776-56F6-49CF-89C0-E9DF60A82A02}" name="ST5" dataDxfId="1623"/>
    <tableColumn id="15" xr3:uid="{D71BD603-9079-4DB9-96F1-431F43D29CA6}" name="ST6" dataDxfId="1622"/>
    <tableColumn id="16" xr3:uid="{EDFD629D-C486-44F7-9890-58E3FBF5D4D2}" name="ST7" dataDxfId="1621"/>
    <tableColumn id="17" xr3:uid="{2724F60C-B8C4-4014-AC04-75C3E6515EAD}" name="ST8" dataDxfId="1620"/>
    <tableColumn id="18" xr3:uid="{4096A9B4-9A4E-45E7-92D0-81D9796391A5}" name="Comments" dataDxfId="1619"/>
  </tableColumns>
  <tableStyleInfo name="TableStyleLight1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1837566-A900-42CA-8131-266A7B92EB80}" name="Table22" displayName="Table22" ref="A258:R279" insertRowShift="1" totalsRowShown="0" headerRowDxfId="1618" dataDxfId="1617">
  <autoFilter ref="A258:R279" xr:uid="{C1837566-A900-42CA-8131-266A7B92EB80}"/>
  <tableColumns count="18">
    <tableColumn id="1" xr3:uid="{4D92DDEB-6EE4-4574-8CDB-BEE56CB67155}" name="Course Number" dataDxfId="1616">
      <calculatedColumnFormula>"MED"&amp;TEXT(Table22[[#This Row],[Count]],"000")&amp;"."&amp;IF(Table22[[#This Row],[Category]]="Cat 1","1",IF(Table22[[#This Row],[Category]]="Cat 2","2",IF(Table22[[#This Row],[Category]]="Cat 3","3","O")))</calculatedColumnFormula>
    </tableColumn>
    <tableColumn id="2" xr3:uid="{A63413A2-BA29-46DF-8CC1-06FEF9C76875}" name="Count" dataDxfId="1615">
      <calculatedColumnFormula>MAX(Table21[Count])+ROWS(INDEX(Table22[Count],1):Table22[[#This Row],[Count]])</calculatedColumnFormula>
    </tableColumn>
    <tableColumn id="3" xr3:uid="{50ACFF67-692B-4282-A4BF-0EF8C1F2E995}" name="Specialty / Programme" dataDxfId="1614"/>
    <tableColumn id="4" xr3:uid="{974686A5-A4A9-4A47-A6E3-CA7AFE88D52A}" name="Event/Course Title" dataDxfId="1613"/>
    <tableColumn id="5" xr3:uid="{D17F17F1-EDE7-40C6-893A-BF088DF3D62E}" name="Category" dataDxfId="1612"/>
    <tableColumn id="6" xr3:uid="{1C9E9279-08E5-4B4B-96A8-CA54CE2E1D67}" name="All" dataDxfId="1611"/>
    <tableColumn id="7" xr3:uid="{AC01DA3E-2BBE-474E-8834-C96041539322}" name="CT1" dataDxfId="1610"/>
    <tableColumn id="8" xr3:uid="{B7D298C5-E333-4F13-B091-1E367BC23EFA}" name="CT2" dataDxfId="1609"/>
    <tableColumn id="9" xr3:uid="{29CADFE9-8F41-420C-AAFC-496AF072AFAD}" name="CT3" dataDxfId="1608"/>
    <tableColumn id="10" xr3:uid="{16732ADD-0CFC-4977-A8C6-03C099F88545}" name="ST1" dataDxfId="1607"/>
    <tableColumn id="11" xr3:uid="{E3D85771-0B01-477A-8AB3-707E4B67E39B}" name="ST2" dataDxfId="1606"/>
    <tableColumn id="12" xr3:uid="{22F835BB-F1A5-4114-B241-73C6553263FB}" name="ST3" dataDxfId="1605"/>
    <tableColumn id="13" xr3:uid="{5E16EAE8-6F1B-47FE-A678-8F8C21C252A3}" name="ST4" dataDxfId="1604"/>
    <tableColumn id="14" xr3:uid="{966A24EC-E211-44BB-A5FC-0551E4EB0D7C}" name="ST5" dataDxfId="1603"/>
    <tableColumn id="15" xr3:uid="{AE36FF83-597F-4FE4-B271-89AE2C709AA7}" name="ST6" dataDxfId="1602"/>
    <tableColumn id="16" xr3:uid="{6A7C9CD5-ED02-47AD-9244-06ADA956CA03}" name="ST7" dataDxfId="1601"/>
    <tableColumn id="17" xr3:uid="{1E155F5A-44F2-44D4-B000-D89FF9BB3532}" name="ST8" dataDxfId="1600"/>
    <tableColumn id="18" xr3:uid="{191B42A2-1C7A-46A1-AE6E-F79811DC39A7}" name="Comments" dataDxfId="1599"/>
  </tableColumns>
  <tableStyleInfo name="TableStyleLight1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248EB7B-2A42-40E5-8592-14595E56907F}" name="Table24" displayName="Table24" ref="A315:R316" insertRowShift="1" totalsRowShown="0" headerRowDxfId="1598" dataDxfId="1597">
  <autoFilter ref="A315:R316" xr:uid="{A248EB7B-2A42-40E5-8592-14595E56907F}"/>
  <tableColumns count="18">
    <tableColumn id="1" xr3:uid="{1D972460-C45C-4C85-BEF1-C3C6D525557C}" name="Course Number" dataDxfId="1596"/>
    <tableColumn id="2" xr3:uid="{38340862-1C35-4F1D-88EA-40B6951CC43B}" name="Count" dataDxfId="1595">
      <calculatedColumnFormula>MAX(Table23[Count])+ROWS(INDEX(Table24[Count],1):Table24[[#This Row],[Count]])</calculatedColumnFormula>
    </tableColumn>
    <tableColumn id="3" xr3:uid="{65D759BB-98F7-48F3-8AEF-F596FA14436F}" name="Specialty / Programme" dataDxfId="1594"/>
    <tableColumn id="4" xr3:uid="{4617ED2D-E726-4631-A09F-DB7F2CDB8FE6}" name="Event/Course Title" dataDxfId="1593"/>
    <tableColumn id="5" xr3:uid="{3926DE17-4F9D-405B-84B6-D0C415126AC3}" name="Category" dataDxfId="1592"/>
    <tableColumn id="6" xr3:uid="{40EF55B1-F776-49C8-91EB-217965076918}" name="All" dataDxfId="1591"/>
    <tableColumn id="7" xr3:uid="{3639D486-8D4C-4B6D-B282-AD39AA32F758}" name="CT1" dataDxfId="1590"/>
    <tableColumn id="8" xr3:uid="{6FB346E5-82AA-41E3-AD96-C83C14B212F8}" name="CT2" dataDxfId="1589"/>
    <tableColumn id="9" xr3:uid="{76B50A59-BAC8-4859-9ABA-865F16C54F8F}" name="CT3" dataDxfId="1588"/>
    <tableColumn id="10" xr3:uid="{F665143F-7B37-4EBB-8876-4BA035EC6D8B}" name="ST1" dataDxfId="1587"/>
    <tableColumn id="11" xr3:uid="{AE0645CE-451F-471E-8CCA-BA19FD6026F2}" name="ST2" dataDxfId="1586"/>
    <tableColumn id="12" xr3:uid="{A08DABD3-0BAD-436E-9811-6637E3688CC8}" name="ST3" dataDxfId="1585"/>
    <tableColumn id="13" xr3:uid="{81CF2203-99D0-4F5A-A1AC-649E4BA51A82}" name="ST4" dataDxfId="1584"/>
    <tableColumn id="14" xr3:uid="{D9BFD43B-C6D0-4A97-B84C-03DBFCDD193B}" name="ST5" dataDxfId="1583"/>
    <tableColumn id="15" xr3:uid="{E45DBD57-60C6-4632-8821-D283161283EF}" name="ST6" dataDxfId="1582"/>
    <tableColumn id="16" xr3:uid="{F385B44B-17B1-4B00-8AF9-DFF17219D629}" name="ST7" dataDxfId="1581"/>
    <tableColumn id="17" xr3:uid="{AFBAACF7-399D-4A1B-992A-459E0E9E1A2E}" name="ST8" dataDxfId="1580"/>
    <tableColumn id="18" xr3:uid="{9C2DD7C0-28E4-4107-91D5-FE603DA61FCF}" name="Comments" dataDxfId="1579"/>
  </tableColumns>
  <tableStyleInfo name="TableStyleLight16"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7C7A752-39B6-4877-B0A2-B2C33B860AE9}" name="Table29" displayName="Table29" ref="A373:R390" insertRowShift="1" totalsRowShown="0" headerRowDxfId="1578" dataDxfId="1577">
  <autoFilter ref="A373:R390" xr:uid="{D7C7A752-39B6-4877-B0A2-B2C33B860AE9}"/>
  <tableColumns count="18">
    <tableColumn id="1" xr3:uid="{953F68D5-59B9-404B-8C83-5D9101B36EFD}" name="Course Number" dataDxfId="1576">
      <calculatedColumnFormula>"MED"&amp;TEXT(Table29[[#This Row],[Count]],"000")&amp;"."&amp;IF(Table29[[#This Row],[Category]]="Cat 1","1",IF(Table29[[#This Row],[Category]]="Cat 2","2",IF(Table29[[#This Row],[Category]]="Cat 3","3","O")))</calculatedColumnFormula>
    </tableColumn>
    <tableColumn id="2" xr3:uid="{1D4CF39D-365B-42C9-A8D4-6F71C8027B9E}" name="Count" dataDxfId="1575">
      <calculatedColumnFormula>MAX(Table28[Count])+ROWS(INDEX(Table29[Count],1):Table29[[#This Row],[Count]])</calculatedColumnFormula>
    </tableColumn>
    <tableColumn id="3" xr3:uid="{B09588DF-7541-44FD-93FE-1F067CEE0FBE}" name="Specialty / Programme" dataDxfId="1574"/>
    <tableColumn id="4" xr3:uid="{A58AD19D-C00B-4BCA-B746-3D63EDC7968C}" name="Event/Course Title" dataDxfId="1573"/>
    <tableColumn id="5" xr3:uid="{51C18B2D-FEF8-4F67-A261-B5D6375ABCF9}" name="Category" dataDxfId="1572"/>
    <tableColumn id="6" xr3:uid="{86DCB854-94B3-4BAB-A074-365C790AFB7F}" name="All" dataDxfId="1571"/>
    <tableColumn id="7" xr3:uid="{0E916FCB-A9B6-42C3-8C04-AFDFCD2E2536}" name="CT1" dataDxfId="1570"/>
    <tableColumn id="8" xr3:uid="{20555B52-D428-4AF7-ADB6-C5B0EE2B444E}" name="CT2" dataDxfId="1569"/>
    <tableColumn id="9" xr3:uid="{1346F648-D807-440E-B4B6-8A6DBF90D217}" name="CT3" dataDxfId="1568"/>
    <tableColumn id="10" xr3:uid="{0F9D87D8-67CB-4469-A976-ABB996728CC7}" name="ST1" dataDxfId="1567"/>
    <tableColumn id="11" xr3:uid="{B9796693-9BA6-4D4F-B35A-92FD12D727D1}" name="ST2" dataDxfId="1566"/>
    <tableColumn id="12" xr3:uid="{5FA5F386-89AE-4B59-90BD-A743531AEC83}" name="ST3" dataDxfId="1565"/>
    <tableColumn id="13" xr3:uid="{4D83A3E3-C82E-466D-B604-5B5FCCFBC9E1}" name="ST4" dataDxfId="1564"/>
    <tableColumn id="14" xr3:uid="{7976A166-A3BB-4BE2-97F2-1DB858126B2C}" name="ST5" dataDxfId="1563"/>
    <tableColumn id="15" xr3:uid="{841B19A1-BFC1-40F7-805B-DAB1CF812661}" name="ST6" dataDxfId="1562"/>
    <tableColumn id="16" xr3:uid="{18683752-4B9E-4AB8-9C2D-B5A06788AD2C}" name="ST7" dataDxfId="1561"/>
    <tableColumn id="17" xr3:uid="{31F2005D-8BBD-46BD-AAB9-A1F379650AB9}" name="ST8" dataDxfId="1560"/>
    <tableColumn id="18" xr3:uid="{0F45AC32-E259-4550-805F-8078FED0E0E8}" name="Comments" dataDxfId="1559"/>
  </tableColumns>
  <tableStyleInfo name="TableStyleLight16"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FD2E740-F3FC-4863-9404-205376FC7A18}" name="Table25" displayName="Table25" ref="A320:R337" insertRowShift="1" totalsRowShown="0" headerRowDxfId="1558" dataDxfId="1557">
  <autoFilter ref="A320:R337" xr:uid="{8FD2E740-F3FC-4863-9404-205376FC7A18}"/>
  <tableColumns count="18">
    <tableColumn id="1" xr3:uid="{42B4CF31-15A6-4786-B45C-6257A5A67528}" name="Course Number" dataDxfId="1556">
      <calculatedColumnFormula>"MED"&amp;TEXT(Table25[[#This Row],[Count]],"000")&amp;"."&amp;IF(Table25[[#This Row],[Category]]="Cat 1","1",IF(Table25[[#This Row],[Category]]="Cat 2","2",IF(Table25[[#This Row],[Category]]="Cat 3","3","O")))</calculatedColumnFormula>
    </tableColumn>
    <tableColumn id="2" xr3:uid="{C9F2DE41-CC18-403B-99A2-5D115CF3C667}" name="Count" dataDxfId="1555">
      <calculatedColumnFormula>MAX(Table24[Count])+ROWS(INDEX(Table25[Count],1):Table25[[#This Row],[Count]])</calculatedColumnFormula>
    </tableColumn>
    <tableColumn id="3" xr3:uid="{52F10D98-8245-49BB-9EA4-32AAF4F1EF6A}" name="Specialty / Programme" dataDxfId="1554"/>
    <tableColumn id="4" xr3:uid="{0AA0B549-1591-4F8B-B743-6912CBDA6677}" name="Event/Course Title" dataDxfId="1553"/>
    <tableColumn id="5" xr3:uid="{09F1EAD1-6549-44FB-8BE8-0E40DCED4538}" name="Category" dataDxfId="1552"/>
    <tableColumn id="6" xr3:uid="{8C1B6D6D-E654-4DB3-BA5E-F7B8269F91B1}" name="All" dataDxfId="1551"/>
    <tableColumn id="7" xr3:uid="{2FE57DBC-6DED-4D2D-B815-0137EBCAA412}" name="CT1" dataDxfId="1550"/>
    <tableColumn id="8" xr3:uid="{EB3D4DAF-1C3A-40EC-9F1E-CE2132292C56}" name="CT2" dataDxfId="1549"/>
    <tableColumn id="9" xr3:uid="{5E7811D4-D79C-4AF7-932B-8E933179DFC1}" name="CT3" dataDxfId="1548"/>
    <tableColumn id="10" xr3:uid="{0C509091-D36E-437B-82E4-0D524043A289}" name="ST1" dataDxfId="1547"/>
    <tableColumn id="11" xr3:uid="{0BC739C3-5D81-4996-B349-8EA361602EF1}" name="ST2" dataDxfId="1546"/>
    <tableColumn id="12" xr3:uid="{389522C4-712D-4CEE-87CF-A18DF9F26408}" name="ST3" dataDxfId="1545"/>
    <tableColumn id="13" xr3:uid="{0B8414DE-2B27-4C3D-9018-A898BA539B38}" name="ST4" dataDxfId="1544"/>
    <tableColumn id="14" xr3:uid="{1DA98549-20CA-40D2-8698-4060B24E6E56}" name="ST5" dataDxfId="1543"/>
    <tableColumn id="15" xr3:uid="{3FAB14F6-9F71-4DC5-8A91-98075661C26B}" name="ST6" dataDxfId="1542"/>
    <tableColumn id="16" xr3:uid="{BF232CF5-257A-431F-A459-F1D4D4E01994}" name="ST7" dataDxfId="1541"/>
    <tableColumn id="17" xr3:uid="{10FDB0F5-4BFA-48DC-A051-8616216FEC9A}" name="ST8" dataDxfId="1540"/>
    <tableColumn id="18" xr3:uid="{4EB7B194-7754-49C5-91C0-DC2D4E0E40EC}" name="Comments" dataDxfId="1539"/>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8F4669-61B9-479B-8403-96F1BCF220F5}" name="Table2" displayName="Table2" ref="A32:R55" totalsRowShown="0" headerRowDxfId="2067" dataDxfId="2066">
  <autoFilter ref="A32:R55" xr:uid="{2B8F4669-61B9-479B-8403-96F1BCF220F5}"/>
  <tableColumns count="18">
    <tableColumn id="1" xr3:uid="{B6BAD11C-5D2E-4EF4-822F-DC5DBE7B637C}" name="Course Number" dataDxfId="2065">
      <calculatedColumnFormula>"ANA"&amp;TEXT(Table2[[#This Row],[Count]],"000")&amp;"."&amp;IF(Table2[[#This Row],[Category]]="Essential","E",IF(Table2[[#This Row],[Category]]="Discretionary","D","O"))</calculatedColumnFormula>
    </tableColumn>
    <tableColumn id="2" xr3:uid="{948687BB-7A21-449E-975A-23FA838446EC}" name="Count" dataDxfId="2064">
      <calculatedColumnFormula>MAX(Table1[Count])+ROWS(INDEX(Table2[Count],1):Table2[[#This Row],[Count]])</calculatedColumnFormula>
    </tableColumn>
    <tableColumn id="18" xr3:uid="{79326DD8-2EF0-41F5-8711-F531D96C88FB}" name="Specialty / Programme" dataDxfId="2063"/>
    <tableColumn id="3" xr3:uid="{37C7BB85-D682-42D1-AEF9-EF6F4BAB8C9E}" name="Event/Course Title" dataDxfId="2062"/>
    <tableColumn id="4" xr3:uid="{92A497E9-FCEC-455F-AFAE-D681A2387979}" name="Category" dataDxfId="2061"/>
    <tableColumn id="5" xr3:uid="{3DA86D03-71BD-4BAC-A85F-4CB8D389FC3E}" name="All" dataDxfId="2060"/>
    <tableColumn id="6" xr3:uid="{4246F098-6544-4E17-BD71-46C98E667DC0}" name="CT1" dataDxfId="2059"/>
    <tableColumn id="7" xr3:uid="{30504AD8-9AE1-40F3-ADE8-70CDE6C4511A}" name="CT2" dataDxfId="2058"/>
    <tableColumn id="8" xr3:uid="{B9147B91-E32A-4720-A923-338133B85EB8}" name="CT3" dataDxfId="2057"/>
    <tableColumn id="9" xr3:uid="{4E434539-7E0F-4EE3-97D7-F17639BE148D}" name="ST1" dataDxfId="2056"/>
    <tableColumn id="10" xr3:uid="{06C94E11-3538-440D-A133-2E4010EB7813}" name="ST2" dataDxfId="2055"/>
    <tableColumn id="11" xr3:uid="{DA334B78-9502-4E14-A454-E65BE3AC63E1}" name="ST3" dataDxfId="2054"/>
    <tableColumn id="12" xr3:uid="{A2001B3D-7944-453D-A974-8B79D63FE733}" name="ST4" dataDxfId="2053"/>
    <tableColumn id="13" xr3:uid="{CE8ABE54-B3AC-40DF-AA31-7822D0041AB5}" name="ST5" dataDxfId="2052"/>
    <tableColumn id="14" xr3:uid="{5FA60489-8E7C-4768-AAB1-D8239BD00057}" name="ST6" dataDxfId="2051"/>
    <tableColumn id="15" xr3:uid="{9688D0B8-5384-4B3D-9A8A-643517B3AD62}" name="ST7" dataDxfId="2050"/>
    <tableColumn id="16" xr3:uid="{1F0CF32A-1A0F-4177-98FC-0630FB342F17}" name="ST8" dataDxfId="2049"/>
    <tableColumn id="17" xr3:uid="{5C131F8E-36FA-43FE-B9E3-2AA0FEDB2020}" name="Comments" dataDxfId="2048"/>
  </tableColumns>
  <tableStyleInfo name="TableStyleLight16"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64D283E-D054-4944-B141-A639AEFA6D90}" name="Table26" displayName="Table26" ref="A341:R355" insertRowShift="1" totalsRowShown="0" headerRowDxfId="1538" dataDxfId="1537">
  <autoFilter ref="A341:R355" xr:uid="{264D283E-D054-4944-B141-A639AEFA6D90}"/>
  <tableColumns count="18">
    <tableColumn id="1" xr3:uid="{E1C72469-02D8-41E6-8EDB-3A3E1BCF170A}" name="Course Number" dataDxfId="1536">
      <calculatedColumnFormula>"MED"&amp;TEXT(Table26[[#This Row],[Count]],"000")&amp;"."&amp;IF(Table26[[#This Row],[Category]]="Cat 1","1",IF(Table26[[#This Row],[Category]]="Cat 2","2",IF(Table26[[#This Row],[Category]]="Cat 3","3","O")))</calculatedColumnFormula>
    </tableColumn>
    <tableColumn id="2" xr3:uid="{1A30CE73-64CE-4325-B9F7-9791C92FD9C4}" name="Count" dataDxfId="1535">
      <calculatedColumnFormula>MAX(Table25[Count])+ROWS(INDEX(Table26[Count],1):Table26[[#This Row],[Count]])</calculatedColumnFormula>
    </tableColumn>
    <tableColumn id="3" xr3:uid="{13E404A9-5F29-4C38-A0E5-DEA50CF124C1}" name="Specialty / Programme" dataDxfId="1534"/>
    <tableColumn id="4" xr3:uid="{DE2718AC-040D-421A-9072-712025346B59}" name="Event/Course Title" dataDxfId="1533"/>
    <tableColumn id="5" xr3:uid="{1E613730-9499-4936-9A60-C580C514EAC8}" name="Category" dataDxfId="1532"/>
    <tableColumn id="6" xr3:uid="{97097AAA-F840-4B18-A14C-80FFAF891B41}" name="All" dataDxfId="1531"/>
    <tableColumn id="7" xr3:uid="{1960A60D-DC18-4AB8-BE21-A016AC9E7C02}" name="CT1" dataDxfId="1530"/>
    <tableColumn id="8" xr3:uid="{6352217B-4F8B-48EB-958F-12618C518E55}" name="CT2" dataDxfId="1529"/>
    <tableColumn id="9" xr3:uid="{FA1538AA-45F9-462B-8FDF-B210673790D3}" name="CT3" dataDxfId="1528"/>
    <tableColumn id="10" xr3:uid="{0A54CB9D-6A3D-4502-B15D-FA789DD7AC16}" name="ST1" dataDxfId="1527"/>
    <tableColumn id="11" xr3:uid="{563E2983-0D1A-4EE2-99FC-FABE623A9800}" name="ST2" dataDxfId="1526"/>
    <tableColumn id="12" xr3:uid="{6B0FC269-CF5D-40F0-9E0E-100374E5F104}" name="ST3" dataDxfId="1525"/>
    <tableColumn id="13" xr3:uid="{5265B9F8-80D6-4AA6-96AD-BE79B5465843}" name="ST4" dataDxfId="1524"/>
    <tableColumn id="14" xr3:uid="{8A44785D-5E32-40BA-B9FA-E3C18DD75293}" name="ST5" dataDxfId="1523"/>
    <tableColumn id="15" xr3:uid="{D11D7247-736A-4EE4-9632-4DCAB9048F82}" name="ST6" dataDxfId="1522"/>
    <tableColumn id="16" xr3:uid="{4947BE2E-7FD9-4047-9F0C-894DB2D7006B}" name="ST7" dataDxfId="1521"/>
    <tableColumn id="17" xr3:uid="{217D3606-F6A9-4616-A8A6-476A71436490}" name="ST8" dataDxfId="1520"/>
    <tableColumn id="18" xr3:uid="{9B7BCA63-32B4-458F-899A-BAE27DC98452}" name="Comments" dataDxfId="1519"/>
  </tableColumns>
  <tableStyleInfo name="TableStyleLight16"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F7FD2FE-4E30-45F8-A391-F160E1AC2214}" name="Table27" displayName="Table27" ref="A359:R360" insertRowShift="1" totalsRowShown="0" headerRowDxfId="1518" dataDxfId="1517">
  <autoFilter ref="A359:R360" xr:uid="{AF7FD2FE-4E30-45F8-A391-F160E1AC2214}"/>
  <tableColumns count="18">
    <tableColumn id="1" xr3:uid="{E27C33F8-8961-44EF-AFFC-253977B827B4}" name="Course Number" dataDxfId="1516"/>
    <tableColumn id="2" xr3:uid="{EDFD9EED-320E-42EA-A872-CE46B2E6EAD1}" name="Count" dataDxfId="1515">
      <calculatedColumnFormula>MAX(Table26[Count])+ROWS(INDEX(Table27[Count],1):Table27[[#This Row],[Count]])</calculatedColumnFormula>
    </tableColumn>
    <tableColumn id="3" xr3:uid="{03502071-DAF1-44AD-83FF-8AD976409614}" name="Specialty / Programme" dataDxfId="1514"/>
    <tableColumn id="4" xr3:uid="{3419392E-CCE4-4E71-AD02-E611A596E8B1}" name="Event/Course Title" dataDxfId="1513"/>
    <tableColumn id="5" xr3:uid="{13DEBE6D-55F2-455E-A15A-32CEE92EF28D}" name="Category" dataDxfId="1512"/>
    <tableColumn id="6" xr3:uid="{BB15D144-62FC-43B8-A417-582C78FA997D}" name="All" dataDxfId="1511"/>
    <tableColumn id="7" xr3:uid="{B083A427-24A7-4A6D-9212-419618FF9A2E}" name="CT1" dataDxfId="1510"/>
    <tableColumn id="8" xr3:uid="{FCA429D3-E09D-4F8F-A448-0337DE7BD3AC}" name="CT2" dataDxfId="1509"/>
    <tableColumn id="9" xr3:uid="{36C855E7-DB77-4071-BCC9-306689634FA9}" name="CT3" dataDxfId="1508"/>
    <tableColumn id="10" xr3:uid="{40E47B7C-4F98-4682-B14B-D562FB4667E4}" name="ST1" dataDxfId="1507"/>
    <tableColumn id="11" xr3:uid="{66FB72DF-9EB6-4D8C-B9C0-A0CAD7637A62}" name="ST2" dataDxfId="1506"/>
    <tableColumn id="12" xr3:uid="{437D84B4-CFB4-40C9-954C-FC79328D4310}" name="ST3" dataDxfId="1505"/>
    <tableColumn id="13" xr3:uid="{B3534916-F578-4FA9-9B1B-1A9812464FCC}" name="ST4" dataDxfId="1504"/>
    <tableColumn id="14" xr3:uid="{F53A0753-27A5-462F-86D2-67165F43123E}" name="ST5" dataDxfId="1503"/>
    <tableColumn id="15" xr3:uid="{004D6EFC-50F8-43A3-A081-449D16FE093F}" name="ST6" dataDxfId="1502"/>
    <tableColumn id="16" xr3:uid="{6DB94746-E41E-42DC-8DF8-74A94F480025}" name="ST7" dataDxfId="1501"/>
    <tableColumn id="17" xr3:uid="{19EC2754-44DD-4C8F-84D0-3EAF41BEC08F}" name="ST8" dataDxfId="1500"/>
    <tableColumn id="18" xr3:uid="{6983EC8E-69F2-408A-B669-596D540DCAFC}" name="Comments" dataDxfId="1499"/>
  </tableColumns>
  <tableStyleInfo name="TableStyleLight16"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65E45F9-A832-4E49-B770-60E3542C20E0}" name="Table28" displayName="Table28" ref="A364:R369" insertRowShift="1" totalsRowShown="0" headerRowDxfId="1498" dataDxfId="1497">
  <autoFilter ref="A364:R369" xr:uid="{A65E45F9-A832-4E49-B770-60E3542C20E0}"/>
  <tableColumns count="18">
    <tableColumn id="1" xr3:uid="{82DA4F27-7AD9-4E1F-AC73-29AEDC94C13E}" name="Course Number" dataDxfId="1496">
      <calculatedColumnFormula>"MED"&amp;TEXT(Table28[[#This Row],[Count]],"000")&amp;"."&amp;IF(Table28[[#This Row],[Category]]="Cat 1","1",IF(Table28[[#This Row],[Category]]="Cat 2","2",IF(Table28[[#This Row],[Category]]="Cat 3","3","O")))</calculatedColumnFormula>
    </tableColumn>
    <tableColumn id="2" xr3:uid="{97F79B70-49A7-4121-AE18-37FA7DAB4E71}" name="Count" dataDxfId="1495">
      <calculatedColumnFormula>MAX(Table27[Count])+ROWS(INDEX(Table28[Count],1):Table28[[#This Row],[Count]])</calculatedColumnFormula>
    </tableColumn>
    <tableColumn id="3" xr3:uid="{B5297406-19CA-4DA7-B5C9-6EC506F73102}" name="Specialty / Programme" dataDxfId="1494"/>
    <tableColumn id="4" xr3:uid="{ACAD6D18-002F-4ED3-92C2-2E3ABF4972E4}" name="Event/Course Title" dataDxfId="1493"/>
    <tableColumn id="5" xr3:uid="{2205CF0E-6436-4612-BF5A-FC72708A9D75}" name="Category" dataDxfId="1492"/>
    <tableColumn id="6" xr3:uid="{CE8F25B6-18D9-4540-A260-33C10F71DAF4}" name="All" dataDxfId="1491"/>
    <tableColumn id="7" xr3:uid="{90CE008C-ED25-4D90-87CB-E671EBE3F152}" name="CT1" dataDxfId="1490"/>
    <tableColumn id="8" xr3:uid="{C6C36D6E-D508-4053-9436-E0A81A88FCA6}" name="CT2" dataDxfId="1489"/>
    <tableColumn id="9" xr3:uid="{DD248EF2-6FFE-4246-B963-DCDFC23A4239}" name="CT3" dataDxfId="1488"/>
    <tableColumn id="10" xr3:uid="{235BA5AA-8275-46CC-88BB-C9E4610CEE92}" name="ST1" dataDxfId="1487"/>
    <tableColumn id="11" xr3:uid="{7BB2DAEA-81AC-469E-8952-448AF8E55F39}" name="ST2" dataDxfId="1486"/>
    <tableColumn id="12" xr3:uid="{2D26DF4A-62E4-4D63-BD75-1F621FE09091}" name="ST3" dataDxfId="1485"/>
    <tableColumn id="13" xr3:uid="{B1630C64-5014-4E3E-BD4C-FBC3FA0D12CD}" name="ST4" dataDxfId="1484"/>
    <tableColumn id="14" xr3:uid="{99B2E762-62F2-4083-B6F7-A596255321EF}" name="ST5" dataDxfId="1483"/>
    <tableColumn id="15" xr3:uid="{A12B0B04-BC01-4C77-AD95-916A2CF28502}" name="ST6" dataDxfId="1482"/>
    <tableColumn id="16" xr3:uid="{C7AC5642-F48A-4FBE-8A59-E6EC16F50E45}" name="ST7" dataDxfId="1481"/>
    <tableColumn id="17" xr3:uid="{4C039900-DA42-484B-BED4-0EEBB0AA00EA}" name="ST8" dataDxfId="1480"/>
    <tableColumn id="18" xr3:uid="{E1FAD0B6-3C9D-4A05-96BE-B561384FE9DB}" name="Comments" dataDxfId="1479"/>
  </tableColumns>
  <tableStyleInfo name="TableStyleLight16"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353504B-AC8B-4E65-829A-6B7D7A2E0D24}" name="Table30" displayName="Table30" ref="A394:R395" insertRowShift="1" totalsRowShown="0" headerRowDxfId="1478" dataDxfId="1477">
  <autoFilter ref="A394:R395" xr:uid="{4353504B-AC8B-4E65-829A-6B7D7A2E0D24}"/>
  <tableColumns count="18">
    <tableColumn id="1" xr3:uid="{4E29BF71-A543-49EE-A273-99ED862A8078}" name="Course Number" dataDxfId="1476"/>
    <tableColumn id="2" xr3:uid="{6A31DBAF-65D1-4917-B123-0C8BAF366FE2}" name="Count" dataDxfId="1475">
      <calculatedColumnFormula>MAX(Table29[Count])+ROWS(INDEX(Table30[Count],1):Table30[[#This Row],[Count]])</calculatedColumnFormula>
    </tableColumn>
    <tableColumn id="3" xr3:uid="{CF5ADA51-F6E9-4CF4-91F7-B4E9454DF51E}" name="Specialty / Programme" dataDxfId="1474"/>
    <tableColumn id="4" xr3:uid="{1FA8EF23-1AAA-4DEF-8878-332D94845257}" name="Event/Course Title" dataDxfId="1473"/>
    <tableColumn id="5" xr3:uid="{2E3BB79C-5BBD-4E8E-970D-82413655C0F4}" name="Category" dataDxfId="1472"/>
    <tableColumn id="6" xr3:uid="{A50FFB32-CB8C-452F-BD3B-4C4C4B3C7734}" name="All" dataDxfId="1471"/>
    <tableColumn id="7" xr3:uid="{8699DD06-237D-4FFE-A8BC-8C6C3AA9F1F9}" name="CT1" dataDxfId="1470"/>
    <tableColumn id="8" xr3:uid="{93F91179-2C90-43AC-A067-271A7D7C40EC}" name="CT2" dataDxfId="1469"/>
    <tableColumn id="9" xr3:uid="{ACF2FDC7-D048-4BE1-87E9-617601305F4E}" name="CT3" dataDxfId="1468"/>
    <tableColumn id="10" xr3:uid="{EEEB0F5D-BE92-434B-A944-6F73A83D31CC}" name="ST1" dataDxfId="1467"/>
    <tableColumn id="11" xr3:uid="{0D3B3C37-08CF-42DD-B09E-ECEF4892D8F4}" name="ST2" dataDxfId="1466"/>
    <tableColumn id="12" xr3:uid="{CB26E91B-E84A-49CA-857A-B9F47DA138B9}" name="ST3" dataDxfId="1465"/>
    <tableColumn id="13" xr3:uid="{F339C246-FE1E-4AB7-8904-42288FDE3416}" name="ST4" dataDxfId="1464"/>
    <tableColumn id="14" xr3:uid="{A17E2066-E366-4615-8A91-D42EE2014028}" name="ST5" dataDxfId="1463"/>
    <tableColumn id="15" xr3:uid="{D0AA2A28-E17F-45F9-9C12-6EB4C5017906}" name="ST6" dataDxfId="1462"/>
    <tableColumn id="16" xr3:uid="{3CD80203-950C-4935-B128-7AE5AC3D9852}" name="ST7" dataDxfId="1461"/>
    <tableColumn id="17" xr3:uid="{9A6BCED7-BB31-446F-8D78-7ECF9BC4CCE4}" name="ST8" dataDxfId="1460"/>
    <tableColumn id="18" xr3:uid="{A1CC7B85-6E61-4EC9-A0D7-72ECF452F5A5}" name="Comments" dataDxfId="1459"/>
  </tableColumns>
  <tableStyleInfo name="TableStyleLight16"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F912FC6-CF8F-497C-8FF2-FF139B35FD27}" name="Table31" displayName="Table31" ref="A399:R408" insertRowShift="1" totalsRowShown="0" headerRowDxfId="1458" dataDxfId="1457">
  <autoFilter ref="A399:R408" xr:uid="{8F912FC6-CF8F-497C-8FF2-FF139B35FD27}"/>
  <tableColumns count="18">
    <tableColumn id="1" xr3:uid="{1CE3782D-7C66-4D1E-8D22-F19CDDC8C4EF}" name="Course Number" dataDxfId="1456">
      <calculatedColumnFormula>"MED"&amp;TEXT(Table31[[#This Row],[Count]],"000")&amp;"."&amp;IF(Table31[[#This Row],[Category]]="Cat 1","1",IF(Table31[[#This Row],[Category]]="Cat 2","2",IF(Table31[[#This Row],[Category]]="Cat 3","3","O")))</calculatedColumnFormula>
    </tableColumn>
    <tableColumn id="2" xr3:uid="{EA20F97E-83B0-413F-A0F0-F259630C66DD}" name="Count" dataDxfId="1455">
      <calculatedColumnFormula>MAX(Table30[Count])+ROWS(INDEX(Table31[Count],1):Table31[[#This Row],[Count]])</calculatedColumnFormula>
    </tableColumn>
    <tableColumn id="3" xr3:uid="{B9B8550C-BF83-45D2-8A53-99FA6D075BB9}" name="Specialty / Programme" dataDxfId="1454"/>
    <tableColumn id="4" xr3:uid="{EF7F867C-71B1-4D57-92BB-DD053B5D379B}" name="Event/Course Title" dataDxfId="1453"/>
    <tableColumn id="5" xr3:uid="{F089D2B2-1FB7-4460-91A0-D5F5CF513E85}" name="Category" dataDxfId="1452"/>
    <tableColumn id="6" xr3:uid="{BCD14026-6C9F-4BDD-8DC8-2CDF02EB7D50}" name="All" dataDxfId="1451"/>
    <tableColumn id="7" xr3:uid="{D3516952-D657-4455-9905-B4EA5A473257}" name="CT1" dataDxfId="1450"/>
    <tableColumn id="8" xr3:uid="{2C76ACF2-7A5C-404E-B2CD-95E632B77CCB}" name="CT2" dataDxfId="1449"/>
    <tableColumn id="9" xr3:uid="{8E8AAEAF-EE54-4583-BA8D-FAB25541A8CF}" name="CT3" dataDxfId="1448"/>
    <tableColumn id="10" xr3:uid="{CCD4FD06-AED8-4AD3-ACC3-179C6F2F8DB6}" name="ST1" dataDxfId="1447"/>
    <tableColumn id="11" xr3:uid="{89DCD9C2-C008-459A-96E5-4FACFA153DCD}" name="ST2" dataDxfId="1446"/>
    <tableColumn id="12" xr3:uid="{C686F5F2-6578-4707-A45A-F6EE8C8E9F6A}" name="ST3" dataDxfId="1445"/>
    <tableColumn id="13" xr3:uid="{20120BB7-0FEF-43E2-8728-A099D2193DB9}" name="ST4" dataDxfId="1444"/>
    <tableColumn id="14" xr3:uid="{89A8A8BF-178A-410E-B71D-D69D5ED01536}" name="ST5" dataDxfId="1443"/>
    <tableColumn id="15" xr3:uid="{821C1A7A-17B9-498B-A485-9A76B6244D78}" name="ST6" dataDxfId="1442"/>
    <tableColumn id="16" xr3:uid="{0349C6A6-C18B-475D-AA50-FDA669DA6179}" name="ST7" dataDxfId="1441"/>
    <tableColumn id="17" xr3:uid="{3A71531C-372C-4729-9D7C-6D0F6D2A0C68}" name="ST8" dataDxfId="1440"/>
    <tableColumn id="18" xr3:uid="{54478B10-7B63-46BC-A7B8-B18BE0F51EFF}" name="Comments" dataDxfId="1439"/>
  </tableColumns>
  <tableStyleInfo name="TableStyleLight16"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E34EE25-3444-4E75-B260-99FF2BB2ED88}" name="Table32" displayName="Table32" ref="A412:R426" insertRowShift="1" totalsRowShown="0" headerRowDxfId="1438" dataDxfId="1437">
  <autoFilter ref="A412:R426" xr:uid="{1E34EE25-3444-4E75-B260-99FF2BB2ED88}"/>
  <tableColumns count="18">
    <tableColumn id="1" xr3:uid="{CDF5A7CA-2482-4129-99EF-6A589DF335AC}" name="Course Number" dataDxfId="1436">
      <calculatedColumnFormula>"MED"&amp;TEXT(Table32[[#This Row],[Count]],"000")&amp;"."&amp;IF(Table32[[#This Row],[Category]]="Cat 1","1",IF(Table32[[#This Row],[Category]]="Cat 2","2",IF(Table32[[#This Row],[Category]]="Cat 3","3","O")))</calculatedColumnFormula>
    </tableColumn>
    <tableColumn id="2" xr3:uid="{6B267F48-B5D1-45B2-B440-24FB47F8A3D1}" name="Count" dataDxfId="1435">
      <calculatedColumnFormula>MAX(Table31[Count])+ROWS(INDEX(Table32[Count],1):Table32[[#This Row],[Count]])</calculatedColumnFormula>
    </tableColumn>
    <tableColumn id="3" xr3:uid="{0A580B91-1966-4658-ABDE-05BD370BBB11}" name="Specialty / Programme" dataDxfId="1434"/>
    <tableColumn id="4" xr3:uid="{C133289A-B26A-4F9F-B8CF-16EE3BA3082D}" name="Event/Course Title" dataDxfId="1433"/>
    <tableColumn id="5" xr3:uid="{419EE489-4D94-42F5-B5BC-D95FB837A724}" name="Category" dataDxfId="1432"/>
    <tableColumn id="6" xr3:uid="{53D90411-F592-4704-80F9-25D872330462}" name="All" dataDxfId="1431"/>
    <tableColumn id="7" xr3:uid="{AA3E5C8F-270F-4EFC-8C64-509E62FA144D}" name="CT1" dataDxfId="1430"/>
    <tableColumn id="8" xr3:uid="{9A57E1F7-BABA-47AA-92AC-1495F74FEC5D}" name="CT2" dataDxfId="1429"/>
    <tableColumn id="9" xr3:uid="{E169B938-DF14-4D5E-B217-66163349C6D4}" name="CT3" dataDxfId="1428"/>
    <tableColumn id="10" xr3:uid="{2016C267-25AA-47DE-864B-07CC37A26A2C}" name="ST1" dataDxfId="1427"/>
    <tableColumn id="11" xr3:uid="{9971394A-C4B4-4D93-867B-ACFFB9E7B824}" name="ST2" dataDxfId="1426"/>
    <tableColumn id="12" xr3:uid="{DB569E49-B7DC-435D-9B8E-820C9AD8BC14}" name="ST3" dataDxfId="1425"/>
    <tableColumn id="13" xr3:uid="{1BE3FA6E-926A-4CF0-99D6-84EB5765E5FD}" name="ST4" dataDxfId="1424"/>
    <tableColumn id="14" xr3:uid="{2A87878A-B143-4656-AC3A-34237A011783}" name="ST5" dataDxfId="1423"/>
    <tableColumn id="15" xr3:uid="{3486D01D-D22B-4F42-8F9C-110E8CF0608E}" name="ST6" dataDxfId="1422"/>
    <tableColumn id="16" xr3:uid="{7486604E-EE74-4452-9581-C2B1EEA13128}" name="ST7" dataDxfId="1421"/>
    <tableColumn id="17" xr3:uid="{E568AA45-BCC7-4306-864D-1D1DE166FB6D}" name="ST8" dataDxfId="1420"/>
    <tableColumn id="18" xr3:uid="{28D75B0A-503C-4EF8-A9F2-32A47476C865}" name="Comments" dataDxfId="1419"/>
  </tableColumns>
  <tableStyleInfo name="TableStyleLight16"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A587E99-3B37-49E6-AFDA-8068C69E57D5}" name="Table33" displayName="Table33" ref="A430:R470" insertRowShift="1" totalsRowShown="0" headerRowDxfId="1418" dataDxfId="1417">
  <autoFilter ref="A430:R470" xr:uid="{DA587E99-3B37-49E6-AFDA-8068C69E57D5}"/>
  <tableColumns count="18">
    <tableColumn id="1" xr3:uid="{2077BF3F-4803-4BBE-8C35-A591A5A909E5}" name="Course Number" dataDxfId="1416">
      <calculatedColumnFormula>"MED"&amp;TEXT(Table33[[#This Row],[Count]],"000")&amp;"."&amp;IF(Table33[[#This Row],[Category]]="Cat 1","1",IF(Table33[[#This Row],[Category]]="Cat 2","2",IF(Table33[[#This Row],[Category]]="Cat 3","3","O")))</calculatedColumnFormula>
    </tableColumn>
    <tableColumn id="2" xr3:uid="{7EB5EB4B-933F-4910-BCB7-62D1160FFFE1}" name="Count" dataDxfId="1415">
      <calculatedColumnFormula>MAX(Table32[Count])+ROWS(INDEX(Table33[Count],1):Table33[[#This Row],[Count]])</calculatedColumnFormula>
    </tableColumn>
    <tableColumn id="3" xr3:uid="{D25C73B9-6DB6-4AB7-87F1-40C41095CDDB}" name="Specialty / Programme" dataDxfId="1414"/>
    <tableColumn id="4" xr3:uid="{F8E1F3D8-B53B-449F-922B-F966D61B81E6}" name="Event/Course Title" dataDxfId="1413"/>
    <tableColumn id="5" xr3:uid="{C20B3C9D-B145-4E43-A0BC-90352A9F3B9A}" name="Category" dataDxfId="1412"/>
    <tableColumn id="6" xr3:uid="{2CB74CB8-947A-448F-889C-621EBE69E339}" name="All" dataDxfId="1411"/>
    <tableColumn id="7" xr3:uid="{765538D0-F678-45B9-BE64-2E4D5CD39204}" name="CT1" dataDxfId="1410"/>
    <tableColumn id="8" xr3:uid="{C409A6E8-E31B-469D-B399-8046631DD71B}" name="CT2" dataDxfId="1409"/>
    <tableColumn id="9" xr3:uid="{BC318092-8F7B-4DED-9CC2-618A230EEA64}" name="CT3" dataDxfId="1408"/>
    <tableColumn id="10" xr3:uid="{936AC161-255D-49F1-8A10-6D8B7CD10FBF}" name="ST1" dataDxfId="1407"/>
    <tableColumn id="11" xr3:uid="{F67F2F81-87DC-4DD1-979E-30A3761C7A6A}" name="ST2" dataDxfId="1406"/>
    <tableColumn id="12" xr3:uid="{EEAEC3F7-9F9D-45E4-AE30-E8208A4C91C7}" name="ST3" dataDxfId="1405"/>
    <tableColumn id="13" xr3:uid="{E4FCF1ED-4022-49B5-913D-5D2D87C9CAB9}" name="ST4" dataDxfId="1404"/>
    <tableColumn id="14" xr3:uid="{5E08F50A-A255-474E-B26C-D9FDC6377340}" name="ST5" dataDxfId="1403"/>
    <tableColumn id="15" xr3:uid="{9D0AAA33-7E7A-4F4C-B8EF-D15D8CF08A54}" name="ST6" dataDxfId="1402"/>
    <tableColumn id="16" xr3:uid="{EF6F5A8C-85BF-4F66-9940-A68F2F7405A4}" name="ST7" dataDxfId="1401"/>
    <tableColumn id="17" xr3:uid="{8A73A753-B04E-44F7-AC54-E4670306F4B8}" name="ST8" dataDxfId="1400"/>
    <tableColumn id="18" xr3:uid="{3C512E3F-1E5A-4F91-900F-C7F0A6B844AC}" name="Comments" dataDxfId="1399"/>
  </tableColumns>
  <tableStyleInfo name="TableStyleLight1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FBDAB57-34E3-48D7-A0FC-8AF4980C673D}" name="Table34" displayName="Table34" ref="A474:R485" insertRowShift="1" totalsRowShown="0" headerRowDxfId="1398" dataDxfId="1397">
  <autoFilter ref="A474:R485" xr:uid="{6FBDAB57-34E3-48D7-A0FC-8AF4980C673D}"/>
  <tableColumns count="18">
    <tableColumn id="1" xr3:uid="{8CE557FE-FA02-41DA-8241-1D7F1BBB441D}" name="Course Number" dataDxfId="1396">
      <calculatedColumnFormula>"MED"&amp;TEXT(Table34[[#This Row],[Count]],"000")&amp;"."&amp;IF(Table34[[#This Row],[Category]]="Cat 1","1",IF(Table34[[#This Row],[Category]]="Cat 2","2",IF(Table34[[#This Row],[Category]]="Cat 3","3","O")))</calculatedColumnFormula>
    </tableColumn>
    <tableColumn id="2" xr3:uid="{1BCFDB6E-4F7A-4ACD-962D-80EF77FAED56}" name="Count" dataDxfId="1395">
      <calculatedColumnFormula>MAX(Table33[Count])+ROWS(INDEX(Table34[Count],1):Table34[[#This Row],[Count]])</calculatedColumnFormula>
    </tableColumn>
    <tableColumn id="3" xr3:uid="{39FC3763-147B-498A-8D22-D4A0CE7C9E4C}" name="Specialty / Programme" dataDxfId="1394"/>
    <tableColumn id="4" xr3:uid="{C243ED89-48BB-40F8-932E-8561254099D3}" name="Event/Course Title" dataDxfId="1393"/>
    <tableColumn id="5" xr3:uid="{1D788B2E-0E26-44C8-9062-3AC3F297FE6A}" name="Category" dataDxfId="1392"/>
    <tableColumn id="6" xr3:uid="{003010BD-2CD8-4172-BBB6-330DB92FE2A9}" name="All" dataDxfId="1391"/>
    <tableColumn id="7" xr3:uid="{76CB4F90-789F-4CD1-95E6-89A7D49AB68F}" name="CT1" dataDxfId="1390"/>
    <tableColumn id="8" xr3:uid="{53D099EF-7311-44DA-B65E-9B0F732CB00C}" name="CT2" dataDxfId="1389"/>
    <tableColumn id="9" xr3:uid="{DB56166D-25A5-4FDB-AB16-BDA970D7A0A6}" name="CT3" dataDxfId="1388"/>
    <tableColumn id="10" xr3:uid="{EEB189D5-56AD-4949-AB03-C3976E3F58FD}" name="ST1" dataDxfId="1387"/>
    <tableColumn id="11" xr3:uid="{E04517D9-826C-406B-9C3C-3D48E534EBA9}" name="ST2" dataDxfId="1386"/>
    <tableColumn id="12" xr3:uid="{CC90C97D-3960-46B1-B81D-1FBA9DC920E2}" name="ST3" dataDxfId="1385"/>
    <tableColumn id="13" xr3:uid="{04C85C77-635E-405F-B19A-22F7ACAEE877}" name="ST4" dataDxfId="1384"/>
    <tableColumn id="14" xr3:uid="{AF25F40B-2057-4474-8467-7413B508282B}" name="ST5" dataDxfId="1383"/>
    <tableColumn id="15" xr3:uid="{51E6D9FF-41C4-453B-A4E6-213AA3E60E29}" name="ST6" dataDxfId="1382"/>
    <tableColumn id="16" xr3:uid="{15299A23-9666-4B42-8432-ED94B10527BC}" name="ST7" dataDxfId="1381"/>
    <tableColumn id="17" xr3:uid="{A629CF28-FEE6-430A-93CC-1097802AA948}" name="ST8" dataDxfId="1380"/>
    <tableColumn id="18" xr3:uid="{92266CE2-AB82-49DF-8F9D-382E8B2F5790}" name="Comments" dataDxfId="1379"/>
  </tableColumns>
  <tableStyleInfo name="TableStyleLight16"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C431D79-29B4-4471-AD05-C1EB1A08B80B}" name="Table36" displayName="Table36" ref="A551:R553" insertRowShift="1" totalsRowShown="0" headerRowDxfId="1378" dataDxfId="1377">
  <autoFilter ref="A551:R553" xr:uid="{AC431D79-29B4-4471-AD05-C1EB1A08B80B}"/>
  <tableColumns count="18">
    <tableColumn id="1" xr3:uid="{47683F90-2E68-441D-AC85-315885EE2F6A}" name="Course Number" dataDxfId="1376">
      <calculatedColumnFormula>"MED"&amp;TEXT(Table36[[#This Row],[Count]],"000")&amp;"."&amp;IF(Table36[[#This Row],[Category]]="Cat 1","1",IF(Table36[[#This Row],[Category]]="Cat 2","2",IF(Table36[[#This Row],[Category]]="Cat 3","3","O")))</calculatedColumnFormula>
    </tableColumn>
    <tableColumn id="2" xr3:uid="{D8EADF61-5EB0-4D3A-A174-4362BB5CD624}" name="Count" dataDxfId="1375">
      <calculatedColumnFormula>MAX(Table35[Count])+ROWS(INDEX(Table36[Count],1):Table36[[#This Row],[Count]])</calculatedColumnFormula>
    </tableColumn>
    <tableColumn id="3" xr3:uid="{BB5183DC-4FC9-4537-9A88-50DDBB995EC8}" name="Specialty / Programme" dataDxfId="1374"/>
    <tableColumn id="4" xr3:uid="{3735AB56-56D4-4383-8B4C-DF400A96BB30}" name="Event/Course Title" dataDxfId="1373"/>
    <tableColumn id="5" xr3:uid="{61370D35-B912-46B7-969B-EBFF61B8E3DA}" name="Category" dataDxfId="1372"/>
    <tableColumn id="6" xr3:uid="{B72B6149-9796-497A-AB13-27F3785AAA18}" name="All" dataDxfId="1371"/>
    <tableColumn id="7" xr3:uid="{485E3F26-5512-4200-B78C-A2400911FCF3}" name="CT1" dataDxfId="1370"/>
    <tableColumn id="8" xr3:uid="{39E72A06-9169-447E-91BD-D9E15C47322C}" name="CT2" dataDxfId="1369"/>
    <tableColumn id="9" xr3:uid="{48B25400-5736-4339-BF62-60D634E33DDA}" name="CT3" dataDxfId="1368"/>
    <tableColumn id="10" xr3:uid="{8E8F32C7-D5B5-4848-A2C2-BEAB2BDCA60C}" name="ST1" dataDxfId="1367"/>
    <tableColumn id="11" xr3:uid="{AAAEFF0A-FD00-4F36-9BA3-2BEED53104F8}" name="ST2" dataDxfId="1366"/>
    <tableColumn id="12" xr3:uid="{2CD2C890-DBDD-436A-93F0-0461ACE9E0D0}" name="ST3" dataDxfId="1365"/>
    <tableColumn id="13" xr3:uid="{478A13CF-3696-4B41-8A82-380FA68A1D34}" name="ST4" dataDxfId="1364"/>
    <tableColumn id="14" xr3:uid="{B5E4DDC5-6107-42DC-B7DE-4CD7AB6812FE}" name="ST5" dataDxfId="1363"/>
    <tableColumn id="15" xr3:uid="{3D59B667-1277-459A-9888-AF88DF0F5E11}" name="ST6" dataDxfId="1362"/>
    <tableColumn id="16" xr3:uid="{493033F0-B7CB-4A5A-89EE-3DB9F64FFD2A}" name="ST7" dataDxfId="1361"/>
    <tableColumn id="17" xr3:uid="{EA3FB494-2BCA-429B-BA3F-681080036492}" name="ST8" dataDxfId="1360"/>
    <tableColumn id="18" xr3:uid="{8B57D383-7314-495B-AACB-AF7318FD7560}" name="Comments" dataDxfId="1359"/>
  </tableColumns>
  <tableStyleInfo name="TableStyleLight16"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C81C2DF-26D3-41BC-ACF2-7F5F63191892}" name="Table37" displayName="Table37" ref="A557:R565" insertRowShift="1" totalsRowShown="0" headerRowDxfId="1358" dataDxfId="1357">
  <autoFilter ref="A557:R565" xr:uid="{FC81C2DF-26D3-41BC-ACF2-7F5F63191892}"/>
  <tableColumns count="18">
    <tableColumn id="1" xr3:uid="{FE4252D5-BB74-4D3B-AC51-0B443DED3B3C}" name="Course Number" dataDxfId="1356">
      <calculatedColumnFormula>"MED"&amp;TEXT(Table37[[#This Row],[Count]],"000")&amp;"."&amp;IF(Table37[[#This Row],[Category]]="Cat 1","1",IF(Table37[[#This Row],[Category]]="Cat 2","2",IF(Table37[[#This Row],[Category]]="Cat 3","3","O")))</calculatedColumnFormula>
    </tableColumn>
    <tableColumn id="2" xr3:uid="{29ED327A-BC79-4BFE-AD4A-0FD9476E57E7}" name="Count" dataDxfId="1355">
      <calculatedColumnFormula>MAX(Table36[Count])+ROWS(INDEX(Table37[Count],1):Table37[[#This Row],[Count]])</calculatedColumnFormula>
    </tableColumn>
    <tableColumn id="3" xr3:uid="{02CB5618-54FD-4A9A-849F-D171951A4814}" name="Specialty / Programme" dataDxfId="1354"/>
    <tableColumn id="4" xr3:uid="{DE45F307-5062-43AC-AEEB-43D756D8D270}" name="Event/Course Title" dataDxfId="1353"/>
    <tableColumn id="5" xr3:uid="{D7AF88AC-2798-4114-85B6-649C9389FD1A}" name="Category" dataDxfId="1352"/>
    <tableColumn id="6" xr3:uid="{9934443D-F554-4145-9CA6-2B46E1AC2F10}" name="All" dataDxfId="1351"/>
    <tableColumn id="7" xr3:uid="{B9385328-4B4F-4D17-B89F-C3AF2C7E8122}" name="CT1" dataDxfId="1350"/>
    <tableColumn id="8" xr3:uid="{CBEA2375-7A8B-4E9F-8A7C-28C979394E96}" name="CT2" dataDxfId="1349"/>
    <tableColumn id="9" xr3:uid="{50855592-5D37-409C-A4D1-C16168222E17}" name="CT3" dataDxfId="1348"/>
    <tableColumn id="10" xr3:uid="{FE180A91-7F7B-4AEF-B640-BFC79A588F0C}" name="ST1" dataDxfId="1347"/>
    <tableColumn id="11" xr3:uid="{380F4A01-A139-4160-9E48-3DEB8781FD45}" name="ST2" dataDxfId="1346"/>
    <tableColumn id="12" xr3:uid="{CAD32BC3-16D1-48BD-85E2-FFB1C53208EE}" name="ST3" dataDxfId="1345"/>
    <tableColumn id="13" xr3:uid="{9B24EAAE-8A32-4E2F-9B17-2373827CE57E}" name="ST4" dataDxfId="1344"/>
    <tableColumn id="14" xr3:uid="{968139D8-94BF-4DEA-A006-FA05BCE55CC4}" name="ST5" dataDxfId="1343"/>
    <tableColumn id="15" xr3:uid="{64EDAA63-9201-4A97-BA0A-7B6456F1CA4B}" name="ST6" dataDxfId="1342"/>
    <tableColumn id="16" xr3:uid="{8CE0334A-5233-4B0E-AA37-C5B2F15A3E80}" name="ST7" dataDxfId="1341"/>
    <tableColumn id="17" xr3:uid="{BD5ABB3C-13BD-47CC-9736-1E6A91F5B3E2}" name="ST8" dataDxfId="1340"/>
    <tableColumn id="18" xr3:uid="{B440F54E-C853-44B5-86A2-1BB64201A3C3}" name="Comments" dataDxfId="1339"/>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0C7BCC-2908-48DD-9F39-896AAB1B079D}" name="Table3" displayName="Table3" ref="A59:R68" totalsRowShown="0" headerRowDxfId="2047" dataDxfId="2046">
  <autoFilter ref="A59:R68" xr:uid="{130C7BCC-2908-48DD-9F39-896AAB1B079D}"/>
  <tableColumns count="18">
    <tableColumn id="1" xr3:uid="{BB10FC63-5FF3-4575-B550-1149B9A962BE}" name="Course Number" dataDxfId="2045">
      <calculatedColumnFormula>"ANA"&amp;TEXT(Table3[[#This Row],[Count]],"000")&amp;"."&amp;IF(Table3[[#This Row],[Category]]="Essential","E",IF(Table3[[#This Row],[Category]]="Discretionary","D","O"))</calculatedColumnFormula>
    </tableColumn>
    <tableColumn id="2" xr3:uid="{B6F1F990-5721-4BD2-8695-EA31B4B74CE9}" name="Count" dataDxfId="2044">
      <calculatedColumnFormula>MAX(Table2[Count])+ROWS(INDEX(Table3[Count],1):Table3[[#This Row],[Count]])</calculatedColumnFormula>
    </tableColumn>
    <tableColumn id="18" xr3:uid="{46D5F791-ACC2-4A6E-8121-37B179A14567}" name="Specialty / Programme" dataDxfId="2043"/>
    <tableColumn id="3" xr3:uid="{8A68BF68-CC8C-44EE-A194-A40B81D0EBC4}" name="Event/Course Title" dataDxfId="2042"/>
    <tableColumn id="4" xr3:uid="{F5CF9C71-2E03-43DA-8360-ECF14325E6EB}" name="Category" dataDxfId="2041"/>
    <tableColumn id="5" xr3:uid="{7D349CF3-B623-414F-8E59-8D5F1ED2F885}" name="All" dataDxfId="2040"/>
    <tableColumn id="6" xr3:uid="{46B6D82D-547F-411B-8AE3-4033155CFBD6}" name="CT1" dataDxfId="2039"/>
    <tableColumn id="7" xr3:uid="{29F8C288-77AC-4BB1-B01B-CAB99FA5D221}" name="CT2" dataDxfId="2038"/>
    <tableColumn id="8" xr3:uid="{4098F49F-7978-4B0E-B8A6-C6C63F136B1E}" name="CT3" dataDxfId="2037"/>
    <tableColumn id="9" xr3:uid="{2133BE8A-CC4A-42E6-8E25-B0A5A8C318BD}" name="ST1" dataDxfId="2036"/>
    <tableColumn id="10" xr3:uid="{CB8E303B-8884-4254-8AF4-BDCB5EAD303F}" name="ST2" dataDxfId="2035"/>
    <tableColumn id="11" xr3:uid="{E8704B41-D7F6-4597-AD7C-27D00F74C9AF}" name="ST3" dataDxfId="2034"/>
    <tableColumn id="12" xr3:uid="{13072A0E-008F-4D21-971F-4D4EC2358739}" name="ST4" dataDxfId="2033"/>
    <tableColumn id="13" xr3:uid="{4BE7927D-EAF5-4D1C-A5EB-31573B98FF10}" name="ST5" dataDxfId="2032"/>
    <tableColumn id="14" xr3:uid="{A40A3499-FB55-440B-BE05-BBF79938DE47}" name="ST6" dataDxfId="2031"/>
    <tableColumn id="15" xr3:uid="{98F31C0D-1282-4229-A5E6-42C00A5D1276}" name="ST7" dataDxfId="2030"/>
    <tableColumn id="16" xr3:uid="{78F2F5D4-0C8C-4BD6-810A-6703B955C687}" name="ST8" dataDxfId="2029"/>
    <tableColumn id="17" xr3:uid="{AEC533D4-0A2E-4B65-BB47-D0707199A30B}" name="Comments" dataDxfId="2028"/>
  </tableColumns>
  <tableStyleInfo name="TableStyleLight16"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31C0F2DC-8E33-400C-9969-07842A0DCE95}" name="Table38" displayName="Table38" ref="A569:R574" insertRowShift="1" totalsRowShown="0" headerRowDxfId="1338" dataDxfId="1337">
  <autoFilter ref="A569:R574" xr:uid="{31C0F2DC-8E33-400C-9969-07842A0DCE95}"/>
  <tableColumns count="18">
    <tableColumn id="1" xr3:uid="{85FDEA57-E015-4117-9AAE-1BA4559BF43B}" name="Course Number" dataDxfId="1336">
      <calculatedColumnFormula>"MED"&amp;TEXT(Table38[[#This Row],[Count]],"000")&amp;"."&amp;IF(Table38[[#This Row],[Category]]="Cat 1","1",IF(Table38[[#This Row],[Category]]="Cat 2","2",IF(Table38[[#This Row],[Category]]="Cat 3","3","O")))</calculatedColumnFormula>
    </tableColumn>
    <tableColumn id="2" xr3:uid="{9889F7F2-9D9F-4F5F-A3FE-DE6D30BE6203}" name="Count" dataDxfId="1335">
      <calculatedColumnFormula>MAX(Table37[Count])+ROWS(INDEX(Table38[Count],1):Table38[[#This Row],[Count]])</calculatedColumnFormula>
    </tableColumn>
    <tableColumn id="3" xr3:uid="{1AB4A03A-6D5B-4F4A-837D-4E0F8E9546B9}" name="Specialty / Programme" dataDxfId="1334"/>
    <tableColumn id="4" xr3:uid="{1365BC2F-3FE2-43A8-8B08-65EB4046C1F5}" name="Event/Course Title" dataDxfId="1333"/>
    <tableColumn id="5" xr3:uid="{9B38EE64-B563-438B-9CC0-078B7F0E3B64}" name="Category" dataDxfId="1332"/>
    <tableColumn id="6" xr3:uid="{E0CC15A8-F531-44BE-8AE1-6F1E0FD39B2F}" name="All" dataDxfId="1331"/>
    <tableColumn id="7" xr3:uid="{34998ABA-A5CD-434E-8079-86174EC4A630}" name="CT1" dataDxfId="1330"/>
    <tableColumn id="8" xr3:uid="{1B77298B-0B60-47EF-83EF-0BDA1426C7E7}" name="CT2" dataDxfId="1329"/>
    <tableColumn id="9" xr3:uid="{E99949DA-BEA8-47D0-B019-ED53DB6D8304}" name="CT3" dataDxfId="1328"/>
    <tableColumn id="10" xr3:uid="{CC4E9146-E113-41D7-86FB-4331E6037481}" name="ST1" dataDxfId="1327"/>
    <tableColumn id="11" xr3:uid="{DF07DDAE-EB09-44CF-B972-11A0D623F867}" name="ST2" dataDxfId="1326"/>
    <tableColumn id="12" xr3:uid="{B98BE2F4-82D7-4043-AFB0-908CAF060167}" name="ST3" dataDxfId="1325"/>
    <tableColumn id="13" xr3:uid="{781CF4FA-167A-4F56-932A-21191946E2FB}" name="ST4" dataDxfId="1324"/>
    <tableColumn id="14" xr3:uid="{9FF48225-9634-4AFA-800C-AFB2476DD9F9}" name="ST5" dataDxfId="1323"/>
    <tableColumn id="15" xr3:uid="{6A8D3FAC-0FF6-490F-BB05-71C2442A9B3E}" name="ST6" dataDxfId="1322"/>
    <tableColumn id="16" xr3:uid="{0041161C-0A32-4B32-BAA2-FB37F59FCC21}" name="ST7" dataDxfId="1321"/>
    <tableColumn id="17" xr3:uid="{902CDED9-A114-4B13-8062-D9B03F7E33D3}" name="ST8" dataDxfId="1320"/>
    <tableColumn id="18" xr3:uid="{C40B1F06-7E56-47A5-B99C-B197749A41E7}" name="Comments" dataDxfId="1319"/>
  </tableColumns>
  <tableStyleInfo name="TableStyleLight16"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454A948-0A2A-4375-AEC5-C951D4FE2C07}" name="Table39" displayName="Table39" ref="A578:R596" insertRowShift="1" totalsRowShown="0" headerRowDxfId="1318" dataDxfId="1317">
  <autoFilter ref="A578:R596" xr:uid="{1454A948-0A2A-4375-AEC5-C951D4FE2C07}"/>
  <tableColumns count="18">
    <tableColumn id="1" xr3:uid="{0A6DCEAF-E7EB-4CE9-8839-DB8BAE6A09CD}" name="Course Number" dataDxfId="1316">
      <calculatedColumnFormula>"MED"&amp;TEXT(Table39[[#This Row],[Count]],"000")&amp;"."&amp;IF(Table39[[#This Row],[Category]]="Cat 1","1",IF(Table39[[#This Row],[Category]]="Cat 2","2",IF(Table39[[#This Row],[Category]]="Cat 3","3","O")))</calculatedColumnFormula>
    </tableColumn>
    <tableColumn id="2" xr3:uid="{87BD45DA-3BB3-477D-A073-9C551C86A992}" name="Count" dataDxfId="1315">
      <calculatedColumnFormula>MAX(Table38[Count])+ROWS(INDEX(Table39[Count],1):Table39[[#This Row],[Count]])</calculatedColumnFormula>
    </tableColumn>
    <tableColumn id="3" xr3:uid="{C6920423-1C42-4C9F-A70E-2699077BDF8C}" name="Specialty / Programme" dataDxfId="1314"/>
    <tableColumn id="4" xr3:uid="{688BB2C5-FF0D-43C8-9E37-0F606BA29272}" name="Event/Course Title" dataDxfId="1313"/>
    <tableColumn id="5" xr3:uid="{C5B22BB1-BA7C-4BA0-BE9B-F6D9E3277F66}" name="Category" dataDxfId="1312"/>
    <tableColumn id="6" xr3:uid="{F9578702-4ED9-4896-9BFD-D0FF76180CC9}" name="All" dataDxfId="1311"/>
    <tableColumn id="7" xr3:uid="{DFA619B5-33FC-4B32-A5EA-C71869A90793}" name="CT1" dataDxfId="1310"/>
    <tableColumn id="8" xr3:uid="{0262891E-6E1F-4A7B-A229-F03EB2B009CB}" name="CT2" dataDxfId="1309"/>
    <tableColumn id="9" xr3:uid="{5E41E642-A29F-4A15-8620-30F9FC13DD87}" name="CT3" dataDxfId="1308"/>
    <tableColumn id="10" xr3:uid="{DF609CC6-5589-4724-AAC3-1C34E9A8697A}" name="ST1" dataDxfId="1307"/>
    <tableColumn id="11" xr3:uid="{E58597D6-3F9B-4B6D-85E1-9EFC782D6C44}" name="ST2" dataDxfId="1306"/>
    <tableColumn id="12" xr3:uid="{CB1E45BB-B941-4AAE-8275-03323683AE03}" name="ST3" dataDxfId="1305"/>
    <tableColumn id="13" xr3:uid="{DF78D145-0163-4B14-BADF-9D5C45FACAEC}" name="ST4" dataDxfId="1304"/>
    <tableColumn id="14" xr3:uid="{C65E5EAE-C650-4FB3-A54D-7C3B22702620}" name="ST5" dataDxfId="1303"/>
    <tableColumn id="15" xr3:uid="{5625C5E9-9371-4223-85F8-1C25F0850FD8}" name="ST6" dataDxfId="1302"/>
    <tableColumn id="16" xr3:uid="{157BA672-2B17-4DA3-8A9B-191F8D4AB9E6}" name="ST7" dataDxfId="1301"/>
    <tableColumn id="17" xr3:uid="{9280F2DF-EE0C-4BAB-BF0F-2DF02B1D6223}" name="ST8" dataDxfId="1300"/>
    <tableColumn id="18" xr3:uid="{C27C0EFA-CC39-4FBE-895C-37CB716C54D0}" name="Comments" dataDxfId="1299"/>
  </tableColumns>
  <tableStyleInfo name="TableStyleLight16"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E886D49-66B1-40AB-A2C5-65C0722552DF}" name="Table40" displayName="Table40" ref="A600:R628" insertRowShift="1" totalsRowShown="0" headerRowDxfId="1298" dataDxfId="1297">
  <autoFilter ref="A600:R628" xr:uid="{8E886D49-66B1-40AB-A2C5-65C0722552DF}"/>
  <tableColumns count="18">
    <tableColumn id="1" xr3:uid="{1F94EA31-8994-4C62-89DF-703B8DA0691D}" name="Course Number" dataDxfId="1296">
      <calculatedColumnFormula>"MED"&amp;TEXT(Table40[[#This Row],[Count]],"000")&amp;"."&amp;IF(Table40[[#This Row],[Category]]="Cat 1","1",IF(Table40[[#This Row],[Category]]="Cat 2","2",IF(Table40[[#This Row],[Category]]="Cat 3","3","O")))</calculatedColumnFormula>
    </tableColumn>
    <tableColumn id="2" xr3:uid="{947A5560-7A66-4E72-A596-8357A02BD664}" name="Count" dataDxfId="1295">
      <calculatedColumnFormula>MAX(Table39[Count])+ROWS(INDEX(Table40[Count],1):Table40[[#This Row],[Count]])</calculatedColumnFormula>
    </tableColumn>
    <tableColumn id="3" xr3:uid="{460B5997-0B81-4EA4-AA2B-C3C3B1695948}" name="Specialty / Programme" dataDxfId="1294"/>
    <tableColumn id="4" xr3:uid="{4AF9B13C-13EB-448E-827A-BC623BDF051C}" name="Event/Course Title" dataDxfId="1293"/>
    <tableColumn id="5" xr3:uid="{D71DA563-170F-4CAC-B747-5901242F84C7}" name="Category" dataDxfId="1292"/>
    <tableColumn id="6" xr3:uid="{EA46174A-23E7-4CF4-8D0D-EF1F0C7BFFA9}" name="All" dataDxfId="1291"/>
    <tableColumn id="7" xr3:uid="{21360E68-A8F6-420C-AC93-F075203F803B}" name="CT1" dataDxfId="1290"/>
    <tableColumn id="8" xr3:uid="{980A1F9F-F193-4779-A8C8-518993CB2B1A}" name="CT2" dataDxfId="1289"/>
    <tableColumn id="9" xr3:uid="{D607A68A-FC6D-4658-8501-43F5C2B6E6E5}" name="CT3" dataDxfId="1288"/>
    <tableColumn id="10" xr3:uid="{AA54A497-53D2-437F-9594-E90841C88396}" name="ST1" dataDxfId="1287"/>
    <tableColumn id="11" xr3:uid="{71E372D6-81B2-4C94-BDA0-EEEB8356F357}" name="ST2" dataDxfId="1286"/>
    <tableColumn id="12" xr3:uid="{A01D726D-0F17-433E-A980-61C17512CD94}" name="ST3" dataDxfId="1285"/>
    <tableColumn id="13" xr3:uid="{EF22FA57-4641-47F4-8221-BA06CEC1B48C}" name="ST4" dataDxfId="1284"/>
    <tableColumn id="14" xr3:uid="{25BE4402-B505-45F7-9481-695C71DDC218}" name="ST5" dataDxfId="1283"/>
    <tableColumn id="15" xr3:uid="{A4847040-A750-404D-BC4F-9D75B06D3663}" name="ST6" dataDxfId="1282"/>
    <tableColumn id="16" xr3:uid="{A8FCFC51-D3F6-4116-B318-282BC4CFA462}" name="ST7" dataDxfId="1281"/>
    <tableColumn id="17" xr3:uid="{DFBA71C2-5DAF-4E18-85D8-9EFAB9E0825C}" name="ST8" dataDxfId="1280"/>
    <tableColumn id="18" xr3:uid="{A9F21591-9BB4-45DD-87A6-8F8558BB877A}" name="Comments" dataDxfId="1279"/>
  </tableColumns>
  <tableStyleInfo name="TableStyleLight16"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E873B89-FA52-4655-9B24-C466DAEC5B14}" name="Table41" displayName="Table41" ref="A632:R658" insertRowShift="1" totalsRowShown="0" headerRowDxfId="1278" dataDxfId="1277">
  <autoFilter ref="A632:R658" xr:uid="{4E873B89-FA52-4655-9B24-C466DAEC5B14}"/>
  <tableColumns count="18">
    <tableColumn id="1" xr3:uid="{163E76BA-6C94-4E43-A459-42E5818B02F6}" name="Course Number" dataDxfId="1276">
      <calculatedColumnFormula>"MED"&amp;TEXT(Table41[[#This Row],[Count]],"000")&amp;"."&amp;IF(Table41[[#This Row],[Category]]="Cat 1","1",IF(Table41[[#This Row],[Category]]="Cat 2","2",IF(Table41[[#This Row],[Category]]="Cat 3","3","O")))</calculatedColumnFormula>
    </tableColumn>
    <tableColumn id="2" xr3:uid="{5308E3C0-4249-4CA3-AC1A-4674F801E8E8}" name="Count" dataDxfId="1275">
      <calculatedColumnFormula>MAX(Table40[Count])+ROWS(INDEX(Table41[Count],1):Table41[[#This Row],[Count]])</calculatedColumnFormula>
    </tableColumn>
    <tableColumn id="3" xr3:uid="{8E608350-B2CD-4E5D-9EC8-0019553F6F70}" name="Specialty / Programme" dataDxfId="1274"/>
    <tableColumn id="4" xr3:uid="{2010D64E-CAFC-4BC1-8CF1-ABCEE9538BC5}" name="Event/Course Title" dataDxfId="1273"/>
    <tableColumn id="5" xr3:uid="{B2089F7D-0F08-4C76-BBF3-0311E5E36FC1}" name="Category" dataDxfId="1272"/>
    <tableColumn id="6" xr3:uid="{CB713AE0-C6C2-4066-AC5F-FE21C74525CF}" name="All" dataDxfId="1271"/>
    <tableColumn id="7" xr3:uid="{32DC0DDA-A7F8-4DCC-B0EF-F4A145B83BAB}" name="CT1" dataDxfId="1270"/>
    <tableColumn id="8" xr3:uid="{A5545887-3E26-4D84-AECD-9815D9AEFB5D}" name="CT2" dataDxfId="1269"/>
    <tableColumn id="9" xr3:uid="{5E8D75E3-58C0-490D-A9F0-70E23060A1C0}" name="CT3" dataDxfId="1268"/>
    <tableColumn id="10" xr3:uid="{702E38B8-7783-461E-95AB-7D983432B77A}" name="ST1" dataDxfId="1267"/>
    <tableColumn id="11" xr3:uid="{E752604E-ACB9-4924-8655-5113051DFDBB}" name="ST2" dataDxfId="1266"/>
    <tableColumn id="12" xr3:uid="{9FDB983E-A3F3-4C3C-B4C7-0816D597235C}" name="ST3" dataDxfId="1265"/>
    <tableColumn id="13" xr3:uid="{841F8D6D-9209-4F9A-B143-5384C8109925}" name="ST4" dataDxfId="1264"/>
    <tableColumn id="14" xr3:uid="{265A5082-FD9D-4E0D-99D2-23C6EFB7EE55}" name="ST5" dataDxfId="1263"/>
    <tableColumn id="15" xr3:uid="{3CE7E469-5386-4214-9DFC-3F92CC57B52A}" name="ST6" dataDxfId="1262"/>
    <tableColumn id="16" xr3:uid="{6095146F-F9B5-4BD9-9C58-CBE8FC5E18EF}" name="ST7" dataDxfId="1261"/>
    <tableColumn id="17" xr3:uid="{D24DE973-C411-4230-B95C-2B9A8F0EA7E5}" name="ST8" dataDxfId="1260"/>
    <tableColumn id="18" xr3:uid="{03B57F72-DA3E-452F-8949-D094FE0422D4}" name="Comments" dataDxfId="1259"/>
  </tableColumns>
  <tableStyleInfo name="TableStyleLight16"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B1B5330-F3D4-42B7-9F00-309A57F35355}" name="Table42" displayName="Table42" ref="A662:R683" insertRowShift="1" totalsRowShown="0" headerRowDxfId="1258" dataDxfId="1257">
  <autoFilter ref="A662:R683" xr:uid="{0B1B5330-F3D4-42B7-9F00-309A57F35355}"/>
  <tableColumns count="18">
    <tableColumn id="1" xr3:uid="{5B06D759-AEAD-4AE2-8804-9D7B7BDFA000}" name="Course Number" dataDxfId="1256">
      <calculatedColumnFormula>"MED"&amp;TEXT(Table42[[#This Row],[Count]],"000")&amp;"."&amp;IF(Table42[[#This Row],[Category]]="Cat 1","1",IF(Table42[[#This Row],[Category]]="Cat 2","2",IF(Table42[[#This Row],[Category]]="Cat 3","3","O")))</calculatedColumnFormula>
    </tableColumn>
    <tableColumn id="2" xr3:uid="{15C2EFB9-CD44-4D33-B34B-12E066F4C034}" name="Count" dataDxfId="1255">
      <calculatedColumnFormula>MAX(Table41[Count])+ROWS(INDEX(Table42[Count],1):Table42[[#This Row],[Count]])</calculatedColumnFormula>
    </tableColumn>
    <tableColumn id="3" xr3:uid="{F5D776CA-73F3-4AC4-A961-37186DF1BBE5}" name="Specialty / Programme" dataDxfId="1254"/>
    <tableColumn id="4" xr3:uid="{38CEDDBD-6716-4C12-BAE8-709A2B68D03A}" name="Event/Course Title" dataDxfId="1253"/>
    <tableColumn id="5" xr3:uid="{00CD3186-F7C4-4E3D-9ECF-3472F715D570}" name="Category" dataDxfId="1252"/>
    <tableColumn id="6" xr3:uid="{DACB638B-6FEE-4C42-8D11-CDB57EBB6B6D}" name="All" dataDxfId="1251"/>
    <tableColumn id="7" xr3:uid="{EF0F11BF-41CF-45B6-93B1-0C2FBDD737D3}" name="CT1" dataDxfId="1250"/>
    <tableColumn id="8" xr3:uid="{A1012BBA-5E8C-4019-BBFB-4EE366C84C20}" name="CT2" dataDxfId="1249"/>
    <tableColumn id="9" xr3:uid="{583C526F-CBA8-4B39-ACB1-9DC535A61E79}" name="CT3" dataDxfId="1248"/>
    <tableColumn id="10" xr3:uid="{A7588C44-5892-410B-940F-C77EBEC9BAFC}" name="ST1" dataDxfId="1247"/>
    <tableColumn id="11" xr3:uid="{793D88B2-9F08-4C59-9B2D-6A0BF5457F89}" name="ST2" dataDxfId="1246"/>
    <tableColumn id="12" xr3:uid="{8BC88835-67F4-45BE-98B6-95D656F54E77}" name="ST3" dataDxfId="1245"/>
    <tableColumn id="13" xr3:uid="{E7E22D82-75DE-4780-BFA7-8CE157C09DFB}" name="ST4" dataDxfId="1244"/>
    <tableColumn id="14" xr3:uid="{F39653C9-05AE-43EA-9B9D-19713CB71DB1}" name="ST5" dataDxfId="1243"/>
    <tableColumn id="15" xr3:uid="{55DEF846-4E16-4722-A77F-F4222C42D7D9}" name="ST6" dataDxfId="1242"/>
    <tableColumn id="16" xr3:uid="{8827B8F9-C074-4CA2-8646-CCFD814B5288}" name="ST7" dataDxfId="1241"/>
    <tableColumn id="17" xr3:uid="{3E4EBA74-C672-442A-B8AE-93E802E34FAA}" name="ST8" dataDxfId="1240"/>
    <tableColumn id="18" xr3:uid="{28DE6DF3-E2CC-433C-B284-07B8FEC4067C}" name="Comments" dataDxfId="1239"/>
  </tableColumns>
  <tableStyleInfo name="TableStyleLight16"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5546AC95-FAD9-45AE-93B7-98E2CAB6A72F}" name="Table43" displayName="Table43" ref="A687:R694" insertRowShift="1" totalsRowShown="0" headerRowDxfId="1238" dataDxfId="1237">
  <autoFilter ref="A687:R694" xr:uid="{5546AC95-FAD9-45AE-93B7-98E2CAB6A72F}"/>
  <tableColumns count="18">
    <tableColumn id="1" xr3:uid="{1E7D34E9-5128-437A-854D-220EAC5459F2}" name="Course Number" dataDxfId="1236">
      <calculatedColumnFormula>"MED"&amp;TEXT(Table43[[#This Row],[Count]],"000")&amp;"."&amp;IF(Table43[[#This Row],[Category]]="Cat 1","1",IF(Table43[[#This Row],[Category]]="Cat 2","2",IF(Table43[[#This Row],[Category]]="Cat 3","3","O")))</calculatedColumnFormula>
    </tableColumn>
    <tableColumn id="2" xr3:uid="{830AE2D4-0776-4D35-8558-EA0C25D9689B}" name="Count" dataDxfId="1235">
      <calculatedColumnFormula>MAX(Table42[Count])+ROWS(INDEX(Table43[Count],1):Table43[[#This Row],[Count]])</calculatedColumnFormula>
    </tableColumn>
    <tableColumn id="3" xr3:uid="{05C83395-4BBC-43B0-B55E-2D7E20C32709}" name="Specialty / Programme" dataDxfId="1234"/>
    <tableColumn id="4" xr3:uid="{C1F2949B-2D38-4479-BF7F-5CB8FFB71248}" name="Event/Course Title" dataDxfId="1233"/>
    <tableColumn id="5" xr3:uid="{7BE2DF79-76DA-4601-B35B-C87E9E1319F8}" name="Category" dataDxfId="1232"/>
    <tableColumn id="6" xr3:uid="{FC47E469-F506-489E-BCFF-35F4DF67CEE7}" name="All" dataDxfId="1231"/>
    <tableColumn id="7" xr3:uid="{C154A45B-D643-48DD-A057-728D089CF779}" name="CT1" dataDxfId="1230"/>
    <tableColumn id="8" xr3:uid="{182C41E7-3D91-4D46-8030-D42A68F7A16C}" name="CT2" dataDxfId="1229"/>
    <tableColumn id="9" xr3:uid="{26878BAC-A53B-4286-9572-7259C2DE84E2}" name="CT3" dataDxfId="1228"/>
    <tableColumn id="10" xr3:uid="{6166A29C-B615-4058-817C-DB18F7D7C824}" name="ST1" dataDxfId="1227"/>
    <tableColumn id="11" xr3:uid="{444D0115-4C14-49F8-940C-F40C21C72F60}" name="ST2" dataDxfId="1226"/>
    <tableColumn id="12" xr3:uid="{184560C6-C57E-4A5D-8682-D9C4C58C788E}" name="ST3" dataDxfId="1225"/>
    <tableColumn id="13" xr3:uid="{72CD0966-B867-4068-A821-02A8400DE297}" name="ST4" dataDxfId="1224"/>
    <tableColumn id="14" xr3:uid="{4EDFCE20-3463-423A-ADA7-53A81A0D7086}" name="ST5" dataDxfId="1223"/>
    <tableColumn id="15" xr3:uid="{53CED315-5E0A-4565-ACC7-A0FA73A18743}" name="ST6" dataDxfId="1222"/>
    <tableColumn id="16" xr3:uid="{1216A8ED-17BC-4970-8F22-00D0EF6EA007}" name="ST7" dataDxfId="1221"/>
    <tableColumn id="17" xr3:uid="{147D4621-DF72-4D00-BA45-2E2ADC6D060B}" name="ST8" dataDxfId="1220"/>
    <tableColumn id="18" xr3:uid="{E6EE2C3F-382F-45A7-8746-3BE93C45FA0C}" name="Comments" dataDxfId="1219"/>
  </tableColumns>
  <tableStyleInfo name="TableStyleLight16"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74EC3AC-9A37-4734-A085-AD60E8C05685}" name="Table44" displayName="Table44" ref="A698:R701" insertRowShift="1" totalsRowShown="0" headerRowDxfId="1218" dataDxfId="1217">
  <autoFilter ref="A698:R701" xr:uid="{A74EC3AC-9A37-4734-A085-AD60E8C05685}"/>
  <tableColumns count="18">
    <tableColumn id="1" xr3:uid="{1351E0EF-9480-40B7-B7F3-52FB18441BDE}" name="Course Number" dataDxfId="1216">
      <calculatedColumnFormula>"MED"&amp;TEXT(Table44[[#This Row],[Count]],"000")&amp;"."&amp;IF(Table44[[#This Row],[Category]]="Cat 1","1",IF(Table44[[#This Row],[Category]]="Cat 2","2",IF(Table44[[#This Row],[Category]]="Cat 3","3","O")))</calculatedColumnFormula>
    </tableColumn>
    <tableColumn id="2" xr3:uid="{D7F7BD6B-8271-49D6-9E1E-F5E07D306491}" name="Count" dataDxfId="1215">
      <calculatedColumnFormula>MAX(Table43[Count])+ROWS(INDEX(Table44[Count],1):Table44[[#This Row],[Count]])</calculatedColumnFormula>
    </tableColumn>
    <tableColumn id="3" xr3:uid="{9B5359BD-4D21-46DB-8E11-979861BA9FCE}" name="Specialty / Programme" dataDxfId="1214"/>
    <tableColumn id="4" xr3:uid="{F102B936-A612-4807-91A1-EED787EBE1B8}" name="Event/Course Title" dataDxfId="1213"/>
    <tableColumn id="5" xr3:uid="{619CF675-CE88-453F-9106-C1299DD4043F}" name="Category" dataDxfId="1212"/>
    <tableColumn id="6" xr3:uid="{32B3813F-A39C-4A11-A5F3-28123150A0C9}" name="All" dataDxfId="1211"/>
    <tableColumn id="7" xr3:uid="{5A7DA4C6-BA15-4269-A05E-053D01047E09}" name="CT1" dataDxfId="1210"/>
    <tableColumn id="8" xr3:uid="{9F7D53D2-03F7-47F5-B9B1-A23ECA68D98B}" name="CT2" dataDxfId="1209"/>
    <tableColumn id="9" xr3:uid="{A1933AF8-2815-4D88-ACF5-B1CC0D0277E8}" name="CT3" dataDxfId="1208"/>
    <tableColumn id="10" xr3:uid="{C377DBC2-DDD3-43FD-B84B-B3937A6363AD}" name="ST1" dataDxfId="1207"/>
    <tableColumn id="11" xr3:uid="{6737C070-1304-4C0A-A903-E72EB997F592}" name="ST2" dataDxfId="1206"/>
    <tableColumn id="12" xr3:uid="{1D5D0D69-2EED-4750-BA87-FE501EEBFC59}" name="ST3" dataDxfId="1205"/>
    <tableColumn id="13" xr3:uid="{A7F20FF6-5D4A-420E-9016-50B6426A8465}" name="ST4" dataDxfId="1204"/>
    <tableColumn id="14" xr3:uid="{886B38F5-3A69-4FDF-92BF-280F4E158ED5}" name="ST5" dataDxfId="1203"/>
    <tableColumn id="15" xr3:uid="{27D72035-337C-4D7C-A7FA-D477BA2878AB}" name="ST6" dataDxfId="1202"/>
    <tableColumn id="16" xr3:uid="{3B222575-D75B-4DFD-80EF-C61B1B002C46}" name="ST7" dataDxfId="1201"/>
    <tableColumn id="17" xr3:uid="{20CA6CD5-1C89-4A47-A1A6-7D919D57462D}" name="ST8" dataDxfId="1200"/>
    <tableColumn id="18" xr3:uid="{1ABA884D-6DAE-448C-BA83-C677A58CE430}" name="Comments" dataDxfId="1199"/>
  </tableColumns>
  <tableStyleInfo name="TableStyleLight1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1D2534F-0F46-4CA2-95DB-3A1021ABA3AB}" name="Table35" displayName="Table35" ref="A489:R547" totalsRowShown="0" headerRowDxfId="1198" dataDxfId="1197">
  <autoFilter ref="A489:R547" xr:uid="{61D2534F-0F46-4CA2-95DB-3A1021ABA3AB}"/>
  <tableColumns count="18">
    <tableColumn id="1" xr3:uid="{2569BE45-B313-48EA-8249-D7EDE4D50E8C}" name="Course Number" dataDxfId="1196">
      <calculatedColumnFormula>"MED"&amp;TEXT(Table35[[#This Row],[Count]],"000")&amp;"."&amp;IF(Table35[[#This Row],[Category]]="Cat 1","1",IF(Table35[[#This Row],[Category]]="Cat 2","2",IF(Table35[[#This Row],[Category]]="Cat 3","3","O")))</calculatedColumnFormula>
    </tableColumn>
    <tableColumn id="2" xr3:uid="{C4D5D1FE-F117-40CF-B087-EF6B6435B8DD}" name="Count" dataDxfId="1195">
      <calculatedColumnFormula>MAX(Table34[Count])+ROWS(INDEX(Table35[Count],1):Table35[[#This Row],[Count]])</calculatedColumnFormula>
    </tableColumn>
    <tableColumn id="3" xr3:uid="{52A0773C-80CD-4826-8BCD-9DC64ED44515}" name="Specialty / Programme" dataDxfId="1194"/>
    <tableColumn id="4" xr3:uid="{927C113A-5AB2-4439-9127-A24F7E392EFB}" name="Event/Course Title" dataDxfId="1193"/>
    <tableColumn id="5" xr3:uid="{5B850C97-6ECE-4992-8FD5-F3730A41BAE2}" name="Category" dataDxfId="1192"/>
    <tableColumn id="6" xr3:uid="{B6A980E3-CEDF-4F0D-8965-32475706D2F5}" name="All" dataDxfId="1191"/>
    <tableColumn id="7" xr3:uid="{9BE503A1-7325-4D49-A09E-4A4E174CFDCF}" name="CT1" dataDxfId="1190"/>
    <tableColumn id="8" xr3:uid="{71F173F8-5B0D-48B6-8E8E-E15CD362421E}" name="CT2" dataDxfId="1189"/>
    <tableColumn id="9" xr3:uid="{5B494938-5627-4A28-8262-2D215DB70BA4}" name="CT3" dataDxfId="1188"/>
    <tableColumn id="10" xr3:uid="{5FA1B721-8ACA-423E-BDC3-F3B3A06B45B9}" name="ST1" dataDxfId="1187"/>
    <tableColumn id="11" xr3:uid="{F8048DB9-9AA0-425E-B1BC-098CE3287DA1}" name="ST2" dataDxfId="1186"/>
    <tableColumn id="12" xr3:uid="{167C798F-FF0E-41AF-A23C-98A31211A94C}" name="ST3" dataDxfId="1185"/>
    <tableColumn id="13" xr3:uid="{C8498674-629F-4578-B23E-FBAB64E88EC4}" name="ST4" dataDxfId="1184"/>
    <tableColumn id="14" xr3:uid="{E343F96B-61EA-450C-96B4-66D07FDF16E0}" name="ST5" dataDxfId="1183"/>
    <tableColumn id="15" xr3:uid="{5F8D8AF0-BD74-4E73-A832-BE7B0B852C47}" name="ST6" dataDxfId="1182"/>
    <tableColumn id="16" xr3:uid="{0553CED3-BF1C-43B0-9143-ABCC31D5AC84}" name="ST7" dataDxfId="1181"/>
    <tableColumn id="17" xr3:uid="{BC8504EE-583E-4CA3-B60E-1DD25BD11AD4}" name="ST8" dataDxfId="1180"/>
    <tableColumn id="18" xr3:uid="{60CB0881-205A-4C9B-91BB-6AD71195B0E7}" name="Comments" dataDxfId="1179"/>
  </tableColumns>
  <tableStyleInfo name="TableStyleLight16"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CA9461F-3A20-4CDA-B00D-16D7B24D1290}" name="Table82" displayName="Table82" ref="A5:R122" totalsRowShown="0" headerRowDxfId="2116" tableBorderDxfId="2115">
  <autoFilter ref="A5:R122" xr:uid="{C1DC213D-E22E-41C4-AAD1-1E326EB8938D}"/>
  <sortState xmlns:xlrd2="http://schemas.microsoft.com/office/spreadsheetml/2017/richdata2" ref="A6:R6">
    <sortCondition ref="D5:D6"/>
  </sortState>
  <tableColumns count="18">
    <tableColumn id="1" xr3:uid="{3305D46A-95DA-435E-866D-323CED8E297E}" name="Course Number" dataDxfId="2114">
      <calculatedColumnFormula>"RAD"&amp;TEXT(Table82[[#This Row],[Count]],"000")&amp;"."&amp;IF(Table82[[#This Row],[Category]]="Cat 1","1",IF(Table82[[#This Row],[Category]]="Cat 2","2",IF(Table82[[#This Row],[Category]]="Cat 3","3","O")))</calculatedColumnFormula>
    </tableColumn>
    <tableColumn id="2" xr3:uid="{46092263-955A-4446-8397-2BBBA07D0D07}" name="Count" dataDxfId="2113">
      <calculatedColumnFormula>ROW()-ROW(Table82[[#Headers],[Count]])</calculatedColumnFormula>
    </tableColumn>
    <tableColumn id="18" xr3:uid="{FE1086A7-7132-47C8-9FB4-204F0491345A}" name="Specialty / Programme" dataDxfId="2112"/>
    <tableColumn id="3" xr3:uid="{0A858015-E446-41D3-B90D-CBF1D8F96CA7}" name="Event/Course Title" dataDxfId="2111"/>
    <tableColumn id="4" xr3:uid="{3A15171F-A0A9-4688-B836-88EC859CC812}" name="Category" dataDxfId="2110"/>
    <tableColumn id="5" xr3:uid="{1364E9B8-6208-4CDB-AA2B-0F108DCE2E18}" name="All" dataDxfId="2109"/>
    <tableColumn id="6" xr3:uid="{92DA394D-01E6-4A1C-B184-091F8904F12C}" name="CT1" dataDxfId="2108"/>
    <tableColumn id="7" xr3:uid="{54BCE281-DB1E-4B78-88A1-F5CC2D5E399A}" name="CT2" dataDxfId="2107"/>
    <tableColumn id="8" xr3:uid="{5DAAFBBC-7667-4654-8FE4-D29A63C09EE8}" name="CT3" dataDxfId="2106"/>
    <tableColumn id="9" xr3:uid="{F625EA79-0F8F-4D13-9E95-18F95DD6D156}" name="ST1" dataDxfId="2105"/>
    <tableColumn id="10" xr3:uid="{4D760A7E-9BED-40C2-AA6F-B37270DDB0CB}" name="ST2" dataDxfId="2104"/>
    <tableColumn id="11" xr3:uid="{7D81C2E0-0E02-44A4-B77E-23AD3FF79BA8}" name="ST3" dataDxfId="2103"/>
    <tableColumn id="12" xr3:uid="{AD1EC5E5-2D71-4A28-8729-69642DA32145}" name="ST4" dataDxfId="2102"/>
    <tableColumn id="13" xr3:uid="{48FC718E-32FF-436D-A196-070CD1D89CD4}" name="ST5" dataDxfId="2101"/>
    <tableColumn id="14" xr3:uid="{F184D998-8FA3-464E-AB60-B0BF6456D51E}" name="ST6" dataDxfId="2100"/>
    <tableColumn id="15" xr3:uid="{DCEEDC59-6AF5-44D0-BC37-99DD9F6CF41B}" name="ST7" dataDxfId="2099"/>
    <tableColumn id="16" xr3:uid="{65012530-C4C2-4363-86F3-683FCB05ED01}" name="ST8" dataDxfId="2098"/>
    <tableColumn id="17" xr3:uid="{B73D71B9-9F65-4C86-9995-8BFC3230A937}" name="Comments" dataDxfId="2097"/>
  </tableColumns>
  <tableStyleInfo name="TableStyleLight16"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C4D5325-0D56-45A7-8275-5D17EC5AF0E1}" name="Table47" displayName="Table47" ref="A5:R44" totalsRowShown="0" headerRowDxfId="1178" tableBorderDxfId="1177">
  <autoFilter ref="A5:R44" xr:uid="{C1DC213D-E22E-41C4-AAD1-1E326EB8938D}"/>
  <sortState xmlns:xlrd2="http://schemas.microsoft.com/office/spreadsheetml/2017/richdata2" ref="A6:R9">
    <sortCondition ref="D5:D9"/>
  </sortState>
  <tableColumns count="18">
    <tableColumn id="1" xr3:uid="{C8D9E542-ABA0-49AD-A33F-E2F9B0760185}" name="Course Number" dataDxfId="1176">
      <calculatedColumnFormula>"OPHT"&amp;TEXT(Table47[[#This Row],[Count]],"000")&amp;"."&amp;IF(Table47[[#This Row],[Category]]="Cat 1","1",IF(Table47[[#This Row],[Category]]="Cat 2","2",IF(Table47[[#This Row],[Category]]="Cat 3","3","O")))</calculatedColumnFormula>
    </tableColumn>
    <tableColumn id="2" xr3:uid="{06BFCB05-D8C7-4F8F-80AE-8B4411A03A31}" name="Count" dataDxfId="1175">
      <calculatedColumnFormula>ROW()-ROW(Table47[[#Headers],[Count]])</calculatedColumnFormula>
    </tableColumn>
    <tableColumn id="18" xr3:uid="{E70F9168-AE5B-4209-BF48-AE52ED902B7B}" name="Specialty / Programme" dataDxfId="1174"/>
    <tableColumn id="3" xr3:uid="{F7C39D22-06E5-4CBC-A53C-320B34215CB7}" name="Event/Course Title" dataDxfId="1173"/>
    <tableColumn id="4" xr3:uid="{76E61BA0-2B10-42D9-9A1E-E5D137BD6C13}" name="Category" dataDxfId="1172"/>
    <tableColumn id="5" xr3:uid="{0653DD47-2BD8-428E-8B11-AA5F04E0818E}" name="All" dataDxfId="1171"/>
    <tableColumn id="6" xr3:uid="{7054641F-5BED-4B12-8594-13D9A608A15C}" name="CT1" dataDxfId="1170"/>
    <tableColumn id="7" xr3:uid="{3ACCA9F3-70FB-4786-93EC-295A98087663}" name="CT2" dataDxfId="1169"/>
    <tableColumn id="8" xr3:uid="{EB21D06C-F531-4ECE-A272-4546E2567E27}" name="CT3" dataDxfId="1168"/>
    <tableColumn id="9" xr3:uid="{ED77B9FF-7F58-46AF-8796-8F294822CB01}" name="ST1" dataDxfId="1167"/>
    <tableColumn id="10" xr3:uid="{F7B0A20D-FA39-4CA4-89B1-6886575B446D}" name="ST2" dataDxfId="1166"/>
    <tableColumn id="11" xr3:uid="{E1472EB4-40F1-4A0A-9C45-0EAC041C93D6}" name="ST3" dataDxfId="1165"/>
    <tableColumn id="12" xr3:uid="{112DE575-E38C-42E6-AEFB-15D8D6CD8BB4}" name="ST4" dataDxfId="1164"/>
    <tableColumn id="13" xr3:uid="{47E7833A-FA01-4A88-8A49-65BB56569D70}" name="ST5" dataDxfId="1163"/>
    <tableColumn id="14" xr3:uid="{A50B39E6-0E18-44F6-A7B7-4397B1C4CB03}" name="ST6" dataDxfId="1162"/>
    <tableColumn id="15" xr3:uid="{52061660-1D60-494C-9041-D103A4A2096B}" name="ST7" dataDxfId="1161"/>
    <tableColumn id="16" xr3:uid="{2255BBE6-5F44-4333-B248-5A0088BEBBDA}" name="ST8" dataDxfId="1160"/>
    <tableColumn id="17" xr3:uid="{439628E4-66B2-4CC6-B1B9-92CC32A5B6CF}" name="Comments" dataDxfId="1159"/>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24C6658-CB11-40B8-8945-AA9BB11A1DB6}" name="Table4" displayName="Table4" ref="A72:R88" totalsRowShown="0" headerRowDxfId="2027" dataDxfId="2026">
  <autoFilter ref="A72:R88" xr:uid="{F24C6658-CB11-40B8-8945-AA9BB11A1DB6}"/>
  <tableColumns count="18">
    <tableColumn id="1" xr3:uid="{0FDDBD4C-ABFF-4030-A2FB-F52A207DDBCD}" name="Course Number" dataDxfId="2025">
      <calculatedColumnFormula>"ANA"&amp;TEXT(Table4[[#This Row],[Count]],"000")&amp;"."&amp;IF(Table4[[#This Row],[Category]]="Essential","E",IF(Table4[[#This Row],[Category]]="Discretionary","D","O"))</calculatedColumnFormula>
    </tableColumn>
    <tableColumn id="2" xr3:uid="{C322F626-E973-4BA8-B051-8CE8F0DD0B55}" name="Count" dataDxfId="2024">
      <calculatedColumnFormula>MAX(Table3[Count])+ROWS(INDEX(Table4[Count],1):Table4[[#This Row],[Count]])</calculatedColumnFormula>
    </tableColumn>
    <tableColumn id="18" xr3:uid="{5BCFED06-27FD-409D-BC9E-BCCED51815D7}" name="Specialty / Programme" dataDxfId="2023"/>
    <tableColumn id="3" xr3:uid="{F41D9427-A25F-4B61-8AB7-63042F41E27C}" name="Event/Course Title" dataDxfId="2022"/>
    <tableColumn id="4" xr3:uid="{037C30C0-1D93-4006-A373-A96909C8B5A1}" name="Category" dataDxfId="2021"/>
    <tableColumn id="5" xr3:uid="{D1B77F8C-2D4C-419E-9B60-960189D8C7BB}" name="All" dataDxfId="2020"/>
    <tableColumn id="6" xr3:uid="{48308F6E-FDAE-4969-968F-BFFC31E16B0C}" name="CT1" dataDxfId="2019"/>
    <tableColumn id="7" xr3:uid="{7A6990BA-64E6-4129-876A-DFFA0E2FDFB0}" name="CT2" dataDxfId="2018"/>
    <tableColumn id="8" xr3:uid="{FF59BC7F-4FC9-43CC-96C7-D14B5E383898}" name="CT3" dataDxfId="2017"/>
    <tableColumn id="9" xr3:uid="{ED65FEDD-3B88-448C-905A-2E0418C858C3}" name="ST1" dataDxfId="2016"/>
    <tableColumn id="10" xr3:uid="{35575350-D34B-46A3-8643-51305F4EB8AE}" name="ST2" dataDxfId="2015"/>
    <tableColumn id="11" xr3:uid="{9099E187-093F-4152-A7DD-D89E68CD0D7E}" name="ST3" dataDxfId="2014"/>
    <tableColumn id="12" xr3:uid="{FEB94D81-8764-4CEE-BC6D-2AAEA7B408B9}" name="ST4" dataDxfId="2013"/>
    <tableColumn id="13" xr3:uid="{735AFBB0-830C-4BC3-AB03-A913B13306F0}" name="ST5" dataDxfId="2012"/>
    <tableColumn id="14" xr3:uid="{C05BFC61-F006-40FF-BCF5-E438BBB6D2CC}" name="ST6" dataDxfId="2011"/>
    <tableColumn id="15" xr3:uid="{2165C98B-4524-45D4-9589-87F5422EE338}" name="ST7" dataDxfId="2010"/>
    <tableColumn id="16" xr3:uid="{5ACB0F62-C5AE-4E29-B031-2ECB0B1ABCCD}" name="ST8" dataDxfId="2009"/>
    <tableColumn id="17" xr3:uid="{01F2F14A-649E-4EDF-8D5A-81FFB6DE332F}" name="Comments" dataDxfId="2008"/>
  </tableColumns>
  <tableStyleInfo name="TableStyleLight16"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8873CC8-086A-404A-B238-D97EB814B499}" name="Table48" displayName="Table48" ref="A5:R9" totalsRowShown="0" headerRowDxfId="1158" tableBorderDxfId="1157">
  <autoFilter ref="A5:R9" xr:uid="{C1DC213D-E22E-41C4-AAD1-1E326EB8938D}"/>
  <sortState xmlns:xlrd2="http://schemas.microsoft.com/office/spreadsheetml/2017/richdata2" ref="A6:R9">
    <sortCondition ref="D5:D9"/>
  </sortState>
  <tableColumns count="18">
    <tableColumn id="1" xr3:uid="{A791E446-3FE0-4DBB-8086-3D43BBA7B193}" name="Course Number" dataDxfId="1156">
      <calculatedColumnFormula>"PAEDS"&amp;TEXT(Table48[[#This Row],[Count]],"000")&amp;"."&amp;IF(Table48[[#This Row],[Category]]="Cat 1","1",IF(Table48[[#This Row],[Category]]="Cat 2","2",IF(Table48[[#This Row],[Category]]="Cat 3","3","O")))</calculatedColumnFormula>
    </tableColumn>
    <tableColumn id="2" xr3:uid="{78FBF4F4-5321-468E-A60C-895C27C71872}" name="Count" dataDxfId="1155">
      <calculatedColumnFormula>ROW()-ROW(Table48[[#Headers],[Count]])</calculatedColumnFormula>
    </tableColumn>
    <tableColumn id="18" xr3:uid="{08162700-FEF1-4CB1-BB42-C6BD6356CEAD}" name="Specialty / Programme" dataDxfId="1154"/>
    <tableColumn id="3" xr3:uid="{27842F13-329F-40C0-995C-B01A10C07ECE}" name="Event/Course Title" dataDxfId="1153"/>
    <tableColumn id="4" xr3:uid="{2B2E4F28-7981-4039-BD86-26B30C0B2507}" name="Category" dataDxfId="1152"/>
    <tableColumn id="5" xr3:uid="{C7752C1B-B8AB-4EFE-AF12-3651543F66BC}" name="All" dataDxfId="1151"/>
    <tableColumn id="6" xr3:uid="{22FB699F-DD7E-4D30-9B3F-139AC2366ACE}" name="CT1" dataDxfId="1150"/>
    <tableColumn id="7" xr3:uid="{4298E252-BDDE-495B-A82A-E2A47825147B}" name="CT2" dataDxfId="1149"/>
    <tableColumn id="8" xr3:uid="{15796D0C-B772-43D8-9909-E829C065D0C9}" name="CT3" dataDxfId="1148"/>
    <tableColumn id="9" xr3:uid="{0A8A5853-66AE-49ED-B79C-F9D9276A0C12}" name="ST1" dataDxfId="1147"/>
    <tableColumn id="10" xr3:uid="{BEADF09D-005D-475C-87FA-69FAAC47C3E8}" name="ST2" dataDxfId="1146"/>
    <tableColumn id="11" xr3:uid="{F7EE453C-F64B-4DB7-B0EC-B224044CDBE2}" name="ST3" dataDxfId="1145"/>
    <tableColumn id="12" xr3:uid="{9351DB2B-EE8A-4155-B76A-87385304AAB1}" name="ST4" dataDxfId="1144"/>
    <tableColumn id="13" xr3:uid="{1127A41A-4EB6-4CB8-B4A1-4D5A618FFA0E}" name="ST5" dataDxfId="1143"/>
    <tableColumn id="14" xr3:uid="{AC357F3C-84B8-4990-8E6E-2EBA6575CFB3}" name="ST6" dataDxfId="1142"/>
    <tableColumn id="15" xr3:uid="{6164EFA3-BF9E-42B5-910E-D17491F47121}" name="ST7" dataDxfId="1141"/>
    <tableColumn id="16" xr3:uid="{13A25783-288D-4AAB-87D8-A721B7BE123C}" name="ST8" dataDxfId="1140"/>
    <tableColumn id="17" xr3:uid="{F34499EB-1D13-4837-AA23-89E920364EE1}" name="Comments" dataDxfId="1139"/>
  </tableColumns>
  <tableStyleInfo name="TableStyleLight16"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A566E01D-10CD-4541-9452-5CD2DD32EED4}" name="Table49" displayName="Table49" ref="A13:R14" totalsRowShown="0" headerRowDxfId="1138" dataDxfId="1137">
  <autoFilter ref="A13:R14" xr:uid="{2B8F4669-61B9-479B-8403-96F1BCF220F5}"/>
  <sortState xmlns:xlrd2="http://schemas.microsoft.com/office/spreadsheetml/2017/richdata2" ref="A14:R14">
    <sortCondition ref="D13:D14"/>
  </sortState>
  <tableColumns count="18">
    <tableColumn id="1" xr3:uid="{29D7E565-530E-4811-8913-56080C0A594C}" name="Course Number" dataDxfId="1136"/>
    <tableColumn id="2" xr3:uid="{94A0382C-9A4C-4C5B-8545-98CC00D81997}" name="Count" dataDxfId="1135">
      <calculatedColumnFormula>MAX(Table48[Count])+ROWS(INDEX(Table49[Count],1):Table49[[#This Row],[Count]])</calculatedColumnFormula>
    </tableColumn>
    <tableColumn id="18" xr3:uid="{2246186C-D5D1-41BD-8625-65460FC119A3}" name="Specialty / Programme" dataDxfId="1134"/>
    <tableColumn id="3" xr3:uid="{1BFC50E7-CD29-4A28-8F28-3577C862C3F1}" name="Event/Course Title" dataDxfId="1133"/>
    <tableColumn id="4" xr3:uid="{8AC315DF-A4F6-4093-87F4-B381AA6EDC3A}" name="Category" dataDxfId="1132"/>
    <tableColumn id="5" xr3:uid="{B0B27913-DED4-460C-91E2-2E86FB29B1FC}" name="All" dataDxfId="1131"/>
    <tableColumn id="6" xr3:uid="{E10CDE76-44C7-478E-8138-EF3FCD7B4DA5}" name="CT1" dataDxfId="1130"/>
    <tableColumn id="7" xr3:uid="{D3F92FBC-51B3-433F-8580-0B0908D4CDCD}" name="CT2" dataDxfId="1129"/>
    <tableColumn id="8" xr3:uid="{1ED1A2B1-8892-41A0-9978-DD7A696F83D3}" name="CT3" dataDxfId="1128"/>
    <tableColumn id="9" xr3:uid="{0399E26A-1421-4DCE-8E67-0E363593FFFC}" name="ST1" dataDxfId="1127"/>
    <tableColumn id="10" xr3:uid="{9A906794-7E4A-4207-B320-C8C919CC5FCA}" name="ST2" dataDxfId="1126"/>
    <tableColumn id="11" xr3:uid="{5B9FC2A2-61D8-4A78-99D0-ED5A259E3FAC}" name="ST3" dataDxfId="1125"/>
    <tableColumn id="12" xr3:uid="{00546B9A-DD67-4C8F-AF95-69E1B2E40B80}" name="ST4" dataDxfId="1124"/>
    <tableColumn id="13" xr3:uid="{EFFAF45D-7E37-4BF9-9A8D-4E4AD7A1806B}" name="ST5" dataDxfId="1123"/>
    <tableColumn id="14" xr3:uid="{9308B8B3-A5D9-4AAC-BE24-E575C41FF1A3}" name="ST6" dataDxfId="1122"/>
    <tableColumn id="15" xr3:uid="{49A1B670-2DB2-45D5-8AB1-DECCB3070796}" name="ST7" dataDxfId="1121"/>
    <tableColumn id="16" xr3:uid="{1D9833A8-2618-43A3-9903-358F41E0E961}" name="ST8" dataDxfId="1120"/>
    <tableColumn id="17" xr3:uid="{69DEB12C-4EBD-4369-B924-F95687093E65}" name="Comments" dataDxfId="1119"/>
  </tableColumns>
  <tableStyleInfo name="TableStyleLight16"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BA535E6-F31E-41E3-A0A8-1917A2C77FA4}" name="Table50" displayName="Table50" ref="A18:R29" totalsRowShown="0" headerRowDxfId="1118" dataDxfId="1117">
  <autoFilter ref="A18:R29" xr:uid="{130C7BCC-2908-48DD-9F39-896AAB1B079D}"/>
  <sortState xmlns:xlrd2="http://schemas.microsoft.com/office/spreadsheetml/2017/richdata2" ref="A19:R28">
    <sortCondition ref="D18:D28"/>
  </sortState>
  <tableColumns count="18">
    <tableColumn id="1" xr3:uid="{6803947A-7EF1-464C-B627-0AC40BCC8241}" name="Course Number" dataDxfId="1116">
      <calculatedColumnFormula>"PAED"&amp;TEXT(Table50[[#This Row],[Count]],"000")&amp;"."&amp;IF(Table50[[#This Row],[Category]]="Cat 1","1",IF(Table50[[#This Row],[Category]]="Cat 2","2",IF(Table50[[#This Row],[Category]]="Cat 3","3","O")))</calculatedColumnFormula>
    </tableColumn>
    <tableColumn id="2" xr3:uid="{B63BD8D7-A7C5-4519-9E15-1B28DD3BC99B}" name="Count" dataDxfId="1115">
      <calculatedColumnFormula>MAX(Table49[Count])+ROWS(INDEX(Table50[Count],1):Table50[[#This Row],[Count]])</calculatedColumnFormula>
    </tableColumn>
    <tableColumn id="18" xr3:uid="{B958FB40-7072-4151-995E-45D8F976B344}" name="Specialty / Programme" dataDxfId="1114"/>
    <tableColumn id="3" xr3:uid="{9FC2A912-26C4-45B2-9E43-E3E319A74A37}" name="Event/Course Title" dataDxfId="1113"/>
    <tableColumn id="4" xr3:uid="{DA2815D3-1E67-467C-821C-922AF118B0E4}" name="Category" dataDxfId="1112"/>
    <tableColumn id="5" xr3:uid="{FEF4525E-634A-416C-A711-B721290D48F7}" name="All" dataDxfId="1111"/>
    <tableColumn id="6" xr3:uid="{050D7AFB-584C-44B5-8820-CB1CDE7FA8B8}" name="CT1" dataDxfId="1110"/>
    <tableColumn id="7" xr3:uid="{71BF7D97-73E9-449B-BD6C-A0E0406BC3E8}" name="CT2" dataDxfId="1109"/>
    <tableColumn id="8" xr3:uid="{99402B34-279B-4DEA-9DDF-49C9153FC2D8}" name="CT3" dataDxfId="1108"/>
    <tableColumn id="9" xr3:uid="{D5842445-3AB7-4138-8826-9C1B868E3553}" name="ST1" dataDxfId="1107"/>
    <tableColumn id="10" xr3:uid="{078EC1DA-910C-4FA9-B208-8ED46B872C55}" name="ST2" dataDxfId="1106"/>
    <tableColumn id="11" xr3:uid="{AC8EFAE8-B37F-4C68-8715-3A633AFC32FE}" name="ST3" dataDxfId="1105"/>
    <tableColumn id="12" xr3:uid="{2BB3CD51-8AF4-4D4E-A538-739ED449AC34}" name="ST4" dataDxfId="1104"/>
    <tableColumn id="13" xr3:uid="{F2C4CBC4-6C25-471C-A2F8-3E047A191C6D}" name="ST5" dataDxfId="1103"/>
    <tableColumn id="14" xr3:uid="{09660092-0CF5-438E-82EC-2E4ABD30F7BF}" name="ST6" dataDxfId="1102"/>
    <tableColumn id="15" xr3:uid="{8F2F39BE-557D-41B6-8929-B2B7A49002B4}" name="ST7" dataDxfId="1101"/>
    <tableColumn id="16" xr3:uid="{A5F0573E-D762-493D-B551-CCFB082F974E}" name="ST8" dataDxfId="1100"/>
    <tableColumn id="17" xr3:uid="{5B517104-B0B2-495B-AC13-932B195156C4}" name="Comments" dataDxfId="1099"/>
  </tableColumns>
  <tableStyleInfo name="TableStyleLight16"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89C0040-08CE-405E-AF0F-192F43B06671}" name="Table51" displayName="Table51" ref="A32:R33" totalsRowShown="0" headerRowDxfId="1098" dataDxfId="1097">
  <autoFilter ref="A32:R33" xr:uid="{F24C6658-CB11-40B8-8945-AA9BB11A1DB6}"/>
  <sortState xmlns:xlrd2="http://schemas.microsoft.com/office/spreadsheetml/2017/richdata2" ref="A33:R33">
    <sortCondition ref="D32:D33"/>
  </sortState>
  <tableColumns count="18">
    <tableColumn id="1" xr3:uid="{9F4E25A0-CCE8-44F5-8914-7AC63A349FFE}" name="Course Number" dataDxfId="1096"/>
    <tableColumn id="2" xr3:uid="{9D944A78-A501-43F6-94B0-C786DF345937}" name="Count" dataDxfId="1095">
      <calculatedColumnFormula>MAX(Table50[Count])+ROWS(INDEX(Table51[Count],1):Table51[[#This Row],[Count]])</calculatedColumnFormula>
    </tableColumn>
    <tableColumn id="18" xr3:uid="{D877ECEE-87FB-416D-84D8-8ECDCDC30434}" name="Specialty / Programme" dataDxfId="1094"/>
    <tableColumn id="3" xr3:uid="{CBF88130-92EF-48E7-B37E-13ADC7FEE424}" name="Event/Course Title" dataDxfId="1093"/>
    <tableColumn id="4" xr3:uid="{500EBB29-070D-43CA-8C31-4BD03CCC3444}" name="Category" dataDxfId="1092"/>
    <tableColumn id="5" xr3:uid="{0A104697-1707-4B53-BAFE-E277B9970D77}" name="All" dataDxfId="1091"/>
    <tableColumn id="6" xr3:uid="{E2034B44-94A8-484D-963C-DD11483CA67F}" name="CT1" dataDxfId="1090"/>
    <tableColumn id="7" xr3:uid="{4435C0EB-5C0B-4F55-B563-94D7D9247E4A}" name="CT2" dataDxfId="1089"/>
    <tableColumn id="8" xr3:uid="{DEB32E09-AA9B-4836-83F3-2E43D39DA76E}" name="CT3" dataDxfId="1088"/>
    <tableColumn id="9" xr3:uid="{40E47A5C-9841-4D09-82E1-8C605545A185}" name="ST1" dataDxfId="1087"/>
    <tableColumn id="10" xr3:uid="{D7F265F5-ED3A-4557-A549-1EA5DDD444C4}" name="ST2" dataDxfId="1086"/>
    <tableColumn id="11" xr3:uid="{B316D3F8-E2CC-4594-8701-6B1F091FD444}" name="ST3" dataDxfId="1085"/>
    <tableColumn id="12" xr3:uid="{B5FE87C7-7357-4E39-B853-638E36FB0811}" name="ST4" dataDxfId="1084"/>
    <tableColumn id="13" xr3:uid="{EB391B2F-4E59-41BF-87F2-4A06F65D8077}" name="ST5" dataDxfId="1083"/>
    <tableColumn id="14" xr3:uid="{D5D741CE-1FD7-4B3D-BAF0-6E63B73EE844}" name="ST6" dataDxfId="1082"/>
    <tableColumn id="15" xr3:uid="{202C5DE4-F5D7-451E-A664-5E8D5F94A1AA}" name="ST7" dataDxfId="1081"/>
    <tableColumn id="16" xr3:uid="{A30EEC8C-2BBD-4E21-BE96-44DFB6889193}" name="ST8" dataDxfId="1080"/>
    <tableColumn id="17" xr3:uid="{C65FCE71-4B35-4B1B-AABF-3615F27D003A}" name="Comments" dataDxfId="1079"/>
  </tableColumns>
  <tableStyleInfo name="TableStyleLight16"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1734529-C7C1-4356-ADB2-AF54C26E6E70}" name="Table52" displayName="Table52" ref="A37:R50" totalsRowShown="0" headerRowDxfId="1078">
  <autoFilter ref="A37:R50" xr:uid="{89EA2D32-36E6-4F44-A054-FC6BE9D6DA75}"/>
  <sortState xmlns:xlrd2="http://schemas.microsoft.com/office/spreadsheetml/2017/richdata2" ref="A38:R43">
    <sortCondition ref="D37:D43"/>
  </sortState>
  <tableColumns count="18">
    <tableColumn id="1" xr3:uid="{F38B5521-237D-4132-97E7-B0ACC003983E}" name="Course Number" dataDxfId="1077">
      <calculatedColumnFormula>"PAED"&amp;TEXT(Table52[[#This Row],[Count]],"000")&amp;"."&amp;IF(Table52[[#This Row],[Category]]="Cat 1","1",IF(Table52[[#This Row],[Category]]="Cat 2","2",IF(Table52[[#This Row],[Category]]="Cat 3","3","O")))</calculatedColumnFormula>
    </tableColumn>
    <tableColumn id="2" xr3:uid="{BEC59C44-835B-458F-8B0F-524F7F8476D7}" name="Count" dataDxfId="1076">
      <calculatedColumnFormula>MAX(Table51[Count])+ROWS(INDEX(Table52[Count],1):Table52[[#This Row],[Count]])</calculatedColumnFormula>
    </tableColumn>
    <tableColumn id="3" xr3:uid="{A661D7E4-2F01-4598-9D30-F0E4A05418A4}" name="Specialty / Programme" dataDxfId="1075"/>
    <tableColumn id="4" xr3:uid="{7B45298A-8D5C-4F17-83CE-068C549D976F}" name="Event/Course Title" dataDxfId="1074"/>
    <tableColumn id="5" xr3:uid="{177CFE80-D38B-4D5D-A5C7-C137DE7E5B10}" name="Category" dataDxfId="1073"/>
    <tableColumn id="6" xr3:uid="{25ABA8A7-CCDE-4632-9494-B28D9EE0A9EB}" name="All" dataDxfId="1072"/>
    <tableColumn id="7" xr3:uid="{B618A398-ACA0-49E5-92CD-F2CBD7A9E9D6}" name="CT1" dataDxfId="1071"/>
    <tableColumn id="8" xr3:uid="{1BDA86C8-5A73-4E3F-8B3F-E9AAEB7284D1}" name="CT2" dataDxfId="1070"/>
    <tableColumn id="9" xr3:uid="{46E01144-8224-4211-A348-4AB1DAE084F9}" name="CT3" dataDxfId="1069"/>
    <tableColumn id="10" xr3:uid="{6F8D5885-7A21-467A-9BD4-BE21915EE6FE}" name="ST1" dataDxfId="1068"/>
    <tableColumn id="11" xr3:uid="{3F40483A-6B56-49A0-BB92-1C87C9657015}" name="ST2" dataDxfId="1067"/>
    <tableColumn id="12" xr3:uid="{D3CF8963-4130-4439-978E-C1B3246EA3CB}" name="ST3" dataDxfId="1066"/>
    <tableColumn id="13" xr3:uid="{7FFB651C-C24F-4E4E-931A-AEB351C6D6F5}" name="ST4" dataDxfId="1065"/>
    <tableColumn id="14" xr3:uid="{B393AB06-7944-4D33-90AE-5E6651FE8A90}" name="ST5" dataDxfId="1064"/>
    <tableColumn id="15" xr3:uid="{76CCE996-268B-4E8C-A2ED-5D78BABB6F51}" name="ST6" dataDxfId="1063"/>
    <tableColumn id="16" xr3:uid="{E5742352-2524-4475-98BF-F7681D3F1F1F}" name="ST7" dataDxfId="1062"/>
    <tableColumn id="17" xr3:uid="{3BE7187E-C84C-4A20-9821-470B8FF1D920}" name="ST8" dataDxfId="1061"/>
    <tableColumn id="18" xr3:uid="{CE5992C2-FB07-4636-ABB1-56B9069F21C7}" name="Comments" dataDxfId="1060"/>
  </tableColumns>
  <tableStyleInfo name="TableStyleLight16"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F015ED6-3760-495E-93F7-E73C44B192B9}" name="Table53" displayName="Table53" ref="A54:R57" insertRowShift="1" totalsRowShown="0" headerRowDxfId="1059" dataDxfId="1058">
  <autoFilter ref="A54:R57" xr:uid="{530FDD2E-BA7F-4819-89A9-711C9526F97D}"/>
  <tableColumns count="18">
    <tableColumn id="1" xr3:uid="{091D6EB9-F1AF-4CAB-8AD2-B8961B2603FD}" name="Course Number" dataDxfId="1057">
      <calculatedColumnFormula>"PAED"&amp;TEXT(Table53[[#This Row],[Count]],"000")&amp;"."&amp;IF(Table53[[#This Row],[Category]]="Cat 1","1",IF(Table53[[#This Row],[Category]]="Cat 2","2",IF(Table53[[#This Row],[Category]]="Cat 3","3","O")))</calculatedColumnFormula>
    </tableColumn>
    <tableColumn id="2" xr3:uid="{21F672B0-BE39-40C7-BEC5-C5D51CED067A}" name="Count" dataDxfId="1056">
      <calculatedColumnFormula>MAX(Table52[Count])+ROWS(INDEX(Table53[Count],1):Table53[[#This Row],[Count]])</calculatedColumnFormula>
    </tableColumn>
    <tableColumn id="3" xr3:uid="{C273CB32-D72B-41BD-8418-4C517DB5EBC1}" name="Specialty / Programme" dataDxfId="1055"/>
    <tableColumn id="4" xr3:uid="{A6DA64AF-E6A5-444B-A894-17C0C355FEE0}" name="Event/Course Title" dataDxfId="1054"/>
    <tableColumn id="5" xr3:uid="{6F5038B6-176F-41F8-988E-5E8BF50AC1C2}" name="Category" dataDxfId="1053"/>
    <tableColumn id="6" xr3:uid="{5EACC455-3507-4FAA-A7DC-99F1DD823F91}" name="All" dataDxfId="1052"/>
    <tableColumn id="7" xr3:uid="{275CC430-02BD-4691-B3BE-681C1248BEEB}" name="CT1" dataDxfId="1051"/>
    <tableColumn id="8" xr3:uid="{7FF0C531-06BA-47CC-8217-0A31B0DE2E79}" name="CT2" dataDxfId="1050"/>
    <tableColumn id="9" xr3:uid="{59C304F3-DFD9-4121-9891-CF0A6F780867}" name="CT3" dataDxfId="1049"/>
    <tableColumn id="10" xr3:uid="{61AAA876-EF51-4A06-9E3E-EFDC7C782480}" name="ST1" dataDxfId="1048"/>
    <tableColumn id="11" xr3:uid="{F42D201F-14D4-44FE-9387-4809EE6329D3}" name="ST2" dataDxfId="1047"/>
    <tableColumn id="12" xr3:uid="{625BC30D-3E50-471B-8EF6-3854BAB8C81B}" name="ST3" dataDxfId="1046"/>
    <tableColumn id="13" xr3:uid="{E9640E74-EB0C-4BD4-ABDF-AB7E89582F8F}" name="ST4" dataDxfId="1045"/>
    <tableColumn id="14" xr3:uid="{6B41A363-489D-4C09-AED6-A236249FFC61}" name="ST5" dataDxfId="1044"/>
    <tableColumn id="15" xr3:uid="{0D3E68EF-592C-4CCA-9666-F4EA18DAF6AE}" name="ST6" dataDxfId="1043"/>
    <tableColumn id="16" xr3:uid="{E9FE1CF4-1AAD-4481-9E63-B5003A9A4327}" name="ST7" dataDxfId="1042"/>
    <tableColumn id="17" xr3:uid="{5F37FE1B-12B7-41DF-B2B3-E05BB74CCDF9}" name="ST8" dataDxfId="1041"/>
    <tableColumn id="18" xr3:uid="{398499B7-2CD3-4C59-B9A5-CC2E9FB7FFEA}" name="Comments" dataDxfId="1040"/>
  </tableColumns>
  <tableStyleInfo name="TableStyleLight16"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81D0BA0-E23D-45C1-8A21-3D19FEA06B05}" name="Table54" displayName="Table54" ref="A61:R68" insertRowShift="1" totalsRowShown="0" headerRowDxfId="1039" dataDxfId="1038">
  <autoFilter ref="A61:R68" xr:uid="{3EE0E5AC-3DF2-4C2A-AB59-4B7DF1EAF7E8}"/>
  <tableColumns count="18">
    <tableColumn id="1" xr3:uid="{0A217B58-2E1C-423B-921A-641D98451B20}" name="Course Number" dataDxfId="1037">
      <calculatedColumnFormula>"PAED"&amp;TEXT(Table54[[#This Row],[Count]],"000")&amp;"."&amp;IF(Table54[[#This Row],[Category]]="Cat 1","1",IF(Table54[[#This Row],[Category]]="Cat 2","2",IF(Table54[[#This Row],[Category]]="Cat 3","3","O")))</calculatedColumnFormula>
    </tableColumn>
    <tableColumn id="2" xr3:uid="{7FFACEC4-548F-4BA0-BA08-DD9776B65EEA}" name="Count" dataDxfId="1036">
      <calculatedColumnFormula>MAX(Table53[Count])+ROWS(INDEX(Table54[Count],1):Table54[[#This Row],[Count]])</calculatedColumnFormula>
    </tableColumn>
    <tableColumn id="3" xr3:uid="{1773E944-9E2C-4677-B55E-44C568E34080}" name="Specialty / Programme" dataDxfId="1035"/>
    <tableColumn id="4" xr3:uid="{9D7CB863-EB38-49A1-A921-9CAE2EF08404}" name="Event/Course Title" dataDxfId="1034"/>
    <tableColumn id="5" xr3:uid="{76A6D5C6-802A-4C7F-B9D0-9AADF22DD499}" name="Category" dataDxfId="1033"/>
    <tableColumn id="6" xr3:uid="{9584AB89-BC88-465E-B0A2-C97E82C7CBDB}" name="All" dataDxfId="1032"/>
    <tableColumn id="7" xr3:uid="{5DF1597F-667A-4A2A-8829-8940B5E78972}" name="CT1" dataDxfId="1031"/>
    <tableColumn id="8" xr3:uid="{BB409BCB-3BA4-4B6E-8D9F-80206B15D71E}" name="CT2" dataDxfId="1030"/>
    <tableColumn id="9" xr3:uid="{0A988CD3-8D8D-4841-BD42-8EF71DB5BEA1}" name="CT3" dataDxfId="1029"/>
    <tableColumn id="10" xr3:uid="{ADC0FC29-C984-4069-AFAA-4048F81160D6}" name="ST1" dataDxfId="1028"/>
    <tableColumn id="11" xr3:uid="{18614773-FFBB-4FAC-A11F-98922BDA40A6}" name="ST2" dataDxfId="1027"/>
    <tableColumn id="12" xr3:uid="{2B3F89EB-8C32-4D6A-B7A6-B66A7E5E17F2}" name="ST3" dataDxfId="1026"/>
    <tableColumn id="13" xr3:uid="{CAA86CB6-5C79-4AA3-9A55-87E249F7ECBC}" name="ST4" dataDxfId="1025"/>
    <tableColumn id="14" xr3:uid="{3E3C6305-3E2E-41B0-B158-FB88BDF7AF78}" name="ST5" dataDxfId="1024"/>
    <tableColumn id="15" xr3:uid="{98E449F0-1084-450E-812A-5615DC169569}" name="ST6" dataDxfId="1023"/>
    <tableColumn id="16" xr3:uid="{16BFBDF8-1B20-4B78-A0D3-0167861E8211}" name="ST7" dataDxfId="1022"/>
    <tableColumn id="17" xr3:uid="{49BCCEE2-633E-45C4-BB8C-280F6B3BC7EC}" name="ST8" dataDxfId="1021"/>
    <tableColumn id="18" xr3:uid="{12EA5813-F013-4133-A61C-2AE97443CFD3}" name="Comments" dataDxfId="1020"/>
  </tableColumns>
  <tableStyleInfo name="TableStyleLight16"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A445CF4-9378-44BA-B942-3D70D559053A}" name="Table56" displayName="Table56" ref="A80:R92" insertRowShift="1" totalsRowShown="0" headerRowDxfId="1019" dataDxfId="1018">
  <autoFilter ref="A80:R92" xr:uid="{86B975FF-7CBF-4704-B3EC-B3BBA3BCF9D9}"/>
  <tableColumns count="18">
    <tableColumn id="1" xr3:uid="{65BEAAAF-681D-49D0-86A4-F1590BF3126F}" name="Course Number" dataDxfId="1017">
      <calculatedColumnFormula>"PAED"&amp;TEXT(Table56[[#This Row],[Count]],"000")&amp;"."&amp;IF(Table56[[#This Row],[Category]]="Cat 1","1",IF(Table56[[#This Row],[Category]]="Cat 2","2",IF(Table56[[#This Row],[Category]]="Cat 3","3","O")))</calculatedColumnFormula>
    </tableColumn>
    <tableColumn id="2" xr3:uid="{849010CA-934B-44C2-BE95-1D3BAB623656}" name="Count" dataDxfId="1016">
      <calculatedColumnFormula>MAX(Table55[Count])+ROWS(INDEX(Table56[Count],1):Table56[[#This Row],[Count]])</calculatedColumnFormula>
    </tableColumn>
    <tableColumn id="3" xr3:uid="{F5B455BE-BD87-4CC1-9782-BE4D250EC80C}" name="Specialty / Programme" dataDxfId="1015"/>
    <tableColumn id="4" xr3:uid="{B9629789-7933-4DE0-9B9D-13F31D327761}" name="Event/Course Title" dataDxfId="1014"/>
    <tableColumn id="5" xr3:uid="{B673546B-1198-4848-B13C-5D7FCC82EBC3}" name="Category" dataDxfId="1013"/>
    <tableColumn id="6" xr3:uid="{6A86A25B-7B5E-4C16-8853-FEC155944BFC}" name="All" dataDxfId="1012"/>
    <tableColumn id="7" xr3:uid="{62CD8E83-00E7-47F5-8E1F-6CF026924083}" name="CT1" dataDxfId="1011"/>
    <tableColumn id="8" xr3:uid="{A4AEB86A-0AF2-42F8-AB1C-015F8FEAAC2A}" name="CT2" dataDxfId="1010"/>
    <tableColumn id="9" xr3:uid="{0151D262-7DB0-42C0-BCCF-B77AD4D5B53A}" name="CT3" dataDxfId="1009"/>
    <tableColumn id="10" xr3:uid="{88E07A21-BAE8-4ABA-A798-1CE5064748F1}" name="ST1" dataDxfId="1008"/>
    <tableColumn id="11" xr3:uid="{D2BD54DB-6FA0-46DB-A572-31A6CE1A663E}" name="ST2" dataDxfId="1007"/>
    <tableColumn id="12" xr3:uid="{25B1ADFE-3E28-4FDF-AF3A-32F1237AC1F1}" name="ST3" dataDxfId="1006"/>
    <tableColumn id="13" xr3:uid="{D806D060-97F0-4F52-ADCB-13641F9E10DB}" name="ST4" dataDxfId="1005"/>
    <tableColumn id="14" xr3:uid="{05F84F33-6BB8-4DAA-BB6C-BA219EBA5658}" name="ST5" dataDxfId="1004"/>
    <tableColumn id="15" xr3:uid="{1A4242A5-BFC4-45A1-A64A-101C4355F691}" name="ST6" dataDxfId="1003"/>
    <tableColumn id="16" xr3:uid="{9F2F79A2-32D4-460C-9ADC-519BF738E1CB}" name="ST7" dataDxfId="1002"/>
    <tableColumn id="17" xr3:uid="{B94A95B8-B15C-4371-8E7B-56CDC90968F6}" name="ST8" dataDxfId="1001"/>
    <tableColumn id="18" xr3:uid="{896BAEC6-6AD9-4A4B-8028-0C9CFDAE7EE0}" name="Comments" dataDxfId="1000"/>
  </tableColumns>
  <tableStyleInfo name="TableStyleLight16"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5BFA2A6-0DC0-4FB5-862D-496A5610D35C}" name="Table55" displayName="Table55" ref="A72:R76" insertRowShift="1" totalsRowShown="0" headerRowDxfId="999" dataDxfId="998">
  <autoFilter ref="A72:R76" xr:uid="{CB3E9978-A605-4661-A088-2D5A2026ED61}"/>
  <tableColumns count="18">
    <tableColumn id="1" xr3:uid="{ECEEE3EB-D193-4F83-8450-69B852603FA8}" name="Course Number" dataDxfId="997">
      <calculatedColumnFormula>"PAED"&amp;TEXT(Table55[[#This Row],[Count]],"000")&amp;"."&amp;IF(Table55[[#This Row],[Category]]="Cat 1","1",IF(Table55[[#This Row],[Category]]="Cat 2","2",IF(Table55[[#This Row],[Category]]="Cat 3","3","O")))</calculatedColumnFormula>
    </tableColumn>
    <tableColumn id="2" xr3:uid="{329D884F-E48D-490E-869E-A8880CD41616}" name="Count" dataDxfId="996">
      <calculatedColumnFormula>MAX(Table54[Count])+ROWS(INDEX(Table55[Count],1):Table55[[#This Row],[Count]])</calculatedColumnFormula>
    </tableColumn>
    <tableColumn id="3" xr3:uid="{1130C1E9-2D00-48A2-9FE7-F13395EF277B}" name="Specialty / Programme" dataDxfId="995"/>
    <tableColumn id="4" xr3:uid="{8B65FEF3-D70F-4DF2-B1C2-4A879ACCF34C}" name="Event/Course Title" dataDxfId="994"/>
    <tableColumn id="5" xr3:uid="{6C92F4AF-0D2A-4988-B2D4-8685E3BE8B69}" name="Category" dataDxfId="993"/>
    <tableColumn id="6" xr3:uid="{92D8A017-68FA-41D3-B2FE-76659114FCD7}" name="All" dataDxfId="992"/>
    <tableColumn id="7" xr3:uid="{835606B3-2048-4197-8BDC-3F1564778181}" name="CT1" dataDxfId="991"/>
    <tableColumn id="8" xr3:uid="{AEE04CC3-3CED-4F6A-85E7-2E88586A3067}" name="CT2" dataDxfId="990"/>
    <tableColumn id="9" xr3:uid="{D6D19303-4D72-4BCD-BD8F-01B9C1A5D948}" name="CT3" dataDxfId="989"/>
    <tableColumn id="10" xr3:uid="{F0CE7B90-52E0-44F2-942F-2B97854A061D}" name="ST1" dataDxfId="988"/>
    <tableColumn id="11" xr3:uid="{094C6F15-5258-488F-A09A-EE488E9AE791}" name="ST2" dataDxfId="987"/>
    <tableColumn id="12" xr3:uid="{A070370F-EAE9-4FB4-A4F9-222BFCD73053}" name="ST3" dataDxfId="986"/>
    <tableColumn id="13" xr3:uid="{B16CF3DB-2225-4E2B-A989-0E70C5AD0576}" name="ST4" dataDxfId="985"/>
    <tableColumn id="14" xr3:uid="{E1C8A631-BEB3-446B-AF14-E92DC059F3E4}" name="ST5" dataDxfId="984"/>
    <tableColumn id="15" xr3:uid="{1C45AC58-5DD1-4B7A-BF45-C0CA1DC78D71}" name="ST6" dataDxfId="983"/>
    <tableColumn id="16" xr3:uid="{49038C81-0A17-44B2-A746-7BE7DE8EC3A4}" name="ST7" dataDxfId="982"/>
    <tableColumn id="17" xr3:uid="{FFDFB4CF-36C8-4540-82C1-937CB8DCC9D5}" name="ST8" dataDxfId="981"/>
    <tableColumn id="18" xr3:uid="{388C23D0-93E9-47CE-939E-24BBD10647E2}" name="Comments" dataDxfId="980"/>
  </tableColumns>
  <tableStyleInfo name="TableStyleLight16"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85548293-03FD-4DCF-B84F-7AE9F2949D1F}" name="Table58" displayName="Table58" ref="A103:R110" insertRowShift="1" totalsRowShown="0" headerRowDxfId="979" dataDxfId="978">
  <autoFilter ref="A103:R110" xr:uid="{95D7EA6B-D022-4E71-A163-25F954DECE04}"/>
  <tableColumns count="18">
    <tableColumn id="1" xr3:uid="{1066D2AA-D2E8-4796-8BE6-B3B8919A407B}" name="Course Number" dataDxfId="977">
      <calculatedColumnFormula>"PAED"&amp;TEXT(Table58[[#This Row],[Count]],"000")&amp;"."&amp;IF(Table58[[#This Row],[Category]]="Cat 1","1",IF(Table58[[#This Row],[Category]]="Cat 2","2",IF(Table58[[#This Row],[Category]]="Cat 3","3","O")))</calculatedColumnFormula>
    </tableColumn>
    <tableColumn id="2" xr3:uid="{75A32B5C-ECC8-4B84-990E-1E4C418D042A}" name="Count" dataDxfId="976">
      <calculatedColumnFormula>MAX(Table57[Count])+ROWS(INDEX(Table58[Count],1):Table58[[#This Row],[Count]])</calculatedColumnFormula>
    </tableColumn>
    <tableColumn id="3" xr3:uid="{0FC5549A-0E9B-46D2-BC80-FEC78B8A5AE2}" name="Specialty / Programme" dataDxfId="975"/>
    <tableColumn id="4" xr3:uid="{0B10A64A-7C3C-4233-8C75-26204020B8FA}" name="Event/Course Title" dataDxfId="974"/>
    <tableColumn id="5" xr3:uid="{1643B8EB-3DA7-4469-8E11-59C3BBF130F2}" name="Category" dataDxfId="973"/>
    <tableColumn id="6" xr3:uid="{AA59B884-4FE4-4610-9A39-32BDCE4F5AE4}" name="All" dataDxfId="972"/>
    <tableColumn id="7" xr3:uid="{BCCB54C5-ED36-482A-B332-D8148AB8A376}" name="CT1" dataDxfId="971"/>
    <tableColumn id="8" xr3:uid="{D107A379-7820-44E6-8F7D-B99A321015B0}" name="CT2" dataDxfId="970"/>
    <tableColumn id="9" xr3:uid="{B936A9C5-D5A4-4B75-858E-1CD104274BAC}" name="CT3" dataDxfId="969"/>
    <tableColumn id="10" xr3:uid="{906D41AE-DF0F-4871-B62B-0C3179F636D7}" name="ST1" dataDxfId="968"/>
    <tableColumn id="11" xr3:uid="{097E4C0A-2DC7-4925-9BA1-DE6CFA48CDD8}" name="ST2" dataDxfId="967"/>
    <tableColumn id="12" xr3:uid="{C45C05E5-7894-4428-A795-AEDE54E9267F}" name="ST3" dataDxfId="966"/>
    <tableColumn id="13" xr3:uid="{E06BB53C-4B0B-4474-A43B-718D008AA13B}" name="ST4" dataDxfId="965"/>
    <tableColumn id="14" xr3:uid="{29E89727-89BE-4380-96DB-A3D1250AAC82}" name="ST5" dataDxfId="964"/>
    <tableColumn id="15" xr3:uid="{3DACCCBC-B397-49FB-8EBE-C50974066E6F}" name="ST6" dataDxfId="963"/>
    <tableColumn id="16" xr3:uid="{08B465F5-E61C-43A2-82A6-A23581AE4258}" name="ST7" dataDxfId="962"/>
    <tableColumn id="17" xr3:uid="{7314AD85-D789-47EC-AB82-4617F0C1FAD1}" name="ST8" dataDxfId="961"/>
    <tableColumn id="18" xr3:uid="{16867B64-6E79-4166-8B1D-80A6C8C7E5AF}" name="Comments" dataDxfId="960"/>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D4834A2-3226-44B4-927F-69659BA80D3C}" name="Table5" displayName="Table5" ref="A5:R9" totalsRowShown="0" headerRowDxfId="2007" tableBorderDxfId="2006">
  <autoFilter ref="A5:R9" xr:uid="{C1DC213D-E22E-41C4-AAD1-1E326EB8938D}"/>
  <sortState xmlns:xlrd2="http://schemas.microsoft.com/office/spreadsheetml/2017/richdata2" ref="A6:R9">
    <sortCondition ref="D5:D9"/>
  </sortState>
  <tableColumns count="18">
    <tableColumn id="1" xr3:uid="{48AFF203-1B53-40B9-A712-00AA2E558B15}" name="Course Number" dataDxfId="2005">
      <calculatedColumnFormula>"ACCS"&amp;TEXT(Table5[[#This Row],[Count]],"000")&amp;"."&amp;IF(Table5[[#This Row],[Category]]="Essential","E",IF(Table5[[#This Row],[Category]]="Discretionary","D","O"))</calculatedColumnFormula>
    </tableColumn>
    <tableColumn id="2" xr3:uid="{92874DBD-5741-4875-981D-A10953CFAB12}" name="Count" dataDxfId="2004">
      <calculatedColumnFormula>ROW()-ROW(Table5[[#Headers],[Count]])</calculatedColumnFormula>
    </tableColumn>
    <tableColumn id="18" xr3:uid="{D63AEC81-0D6C-4F89-A4BA-3282A5E308B4}" name="Specialty / Programme" dataDxfId="2003"/>
    <tableColumn id="3" xr3:uid="{CE32E200-885C-4F8B-BBDF-4159AF581954}" name="Event/Course Title" dataDxfId="2002"/>
    <tableColumn id="4" xr3:uid="{36EEE0C5-1983-4A2D-8AC3-4D935DE0AFA4}" name="Category" dataDxfId="2001"/>
    <tableColumn id="5" xr3:uid="{BC78480A-1D1D-4176-907B-2FC44598017F}" name="All" dataDxfId="2000"/>
    <tableColumn id="6" xr3:uid="{79481CF5-70B9-4F79-9EEC-B9D54A3904ED}" name="CT1" dataDxfId="1999"/>
    <tableColumn id="7" xr3:uid="{0C46CA07-E94B-4BD2-9A0D-815A84DC90FE}" name="CT2" dataDxfId="1998"/>
    <tableColumn id="8" xr3:uid="{E7EE48F4-DB20-430E-985D-20DB74C7504C}" name="CT3" dataDxfId="1997"/>
    <tableColumn id="9" xr3:uid="{034F3C2F-C659-41A8-8206-FCBE49BA35DD}" name="ST1" dataDxfId="1996"/>
    <tableColumn id="10" xr3:uid="{F85FBB97-4F11-49A8-897F-CF418624941A}" name="ST2" dataDxfId="1995"/>
    <tableColumn id="11" xr3:uid="{2F88161B-C820-458C-B953-A59DC41D1F1F}" name="ST3" dataDxfId="1994"/>
    <tableColumn id="12" xr3:uid="{476E33F3-5439-49B7-8DD9-95F59664B68D}" name="ST4" dataDxfId="1993"/>
    <tableColumn id="13" xr3:uid="{FFA6BD38-C4BF-4DCE-A2D0-C2B4DD5110C1}" name="ST5" dataDxfId="1992"/>
    <tableColumn id="14" xr3:uid="{49BBB7E5-A3B7-4791-BE12-962BF2DEB14B}" name="ST6" dataDxfId="1991"/>
    <tableColumn id="15" xr3:uid="{1FF1D669-6F88-4948-AB44-25CBBF49C61A}" name="ST7" dataDxfId="1990"/>
    <tableColumn id="16" xr3:uid="{366FE561-810B-4923-9F88-E4BDF8C0821C}" name="ST8" dataDxfId="1989"/>
    <tableColumn id="17" xr3:uid="{B96CA955-D187-4E05-8866-7D9A9497D925}" name="Comments" dataDxfId="1988"/>
  </tableColumns>
  <tableStyleInfo name="TableStyleLight1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435471C-DEAB-4FFF-97E0-374492B58DBC}" name="Table57" displayName="Table57" ref="A96:R99" insertRowShift="1" totalsRowShown="0" headerRowDxfId="959" dataDxfId="958">
  <autoFilter ref="A96:R99" xr:uid="{C1837566-A900-42CA-8131-266A7B92EB80}"/>
  <tableColumns count="18">
    <tableColumn id="1" xr3:uid="{C7266DCD-3B39-4CB8-BE97-5788A948EA4A}" name="Course Number" dataDxfId="957">
      <calculatedColumnFormula>"PAED"&amp;TEXT(Table57[[#This Row],[Count]],"000")&amp;"."&amp;IF(Table57[[#This Row],[Category]]="Cat 1","1",IF(Table57[[#This Row],[Category]]="Cat 2","2",IF(Table57[[#This Row],[Category]]="Cat 3","3","O")))</calculatedColumnFormula>
    </tableColumn>
    <tableColumn id="2" xr3:uid="{1CCDD5F1-CD28-41F1-98E9-174B58BE933D}" name="Count" dataDxfId="956">
      <calculatedColumnFormula>MAX(Table56[Count])+ROWS(INDEX(Table57[Count],1):Table57[[#This Row],[Count]])</calculatedColumnFormula>
    </tableColumn>
    <tableColumn id="3" xr3:uid="{2B72870B-4A99-4B5C-9EBC-9DA96C4CFCC5}" name="Specialty / Programme" dataDxfId="955"/>
    <tableColumn id="4" xr3:uid="{93433DE1-B62B-4EE9-9E38-9A9A3C6F13F9}" name="Event/Course Title" dataDxfId="954"/>
    <tableColumn id="5" xr3:uid="{D5285193-1FAF-41DE-AA37-8C49D5076781}" name="Category" dataDxfId="953"/>
    <tableColumn id="6" xr3:uid="{C928E226-9AC9-421F-94A0-9B9030222575}" name="All" dataDxfId="952"/>
    <tableColumn id="7" xr3:uid="{7574DB8A-CCD0-4F29-92B9-FCBE297FE895}" name="CT1" dataDxfId="951"/>
    <tableColumn id="8" xr3:uid="{2783520F-E163-407D-B3D9-CD34A241D5DE}" name="CT2" dataDxfId="950"/>
    <tableColumn id="9" xr3:uid="{02C410BD-61B3-4693-B4AF-ACF4A40B1E74}" name="CT3" dataDxfId="949"/>
    <tableColumn id="10" xr3:uid="{AF87A7D9-6599-4AF6-A633-F91FB2980C65}" name="ST1" dataDxfId="948"/>
    <tableColumn id="11" xr3:uid="{7B216052-0A52-4648-AA2A-794C39ED3CAF}" name="ST2" dataDxfId="947"/>
    <tableColumn id="12" xr3:uid="{1D32359E-EDFB-436E-B9AF-F0493F9A27C6}" name="ST3" dataDxfId="946"/>
    <tableColumn id="13" xr3:uid="{C0077184-EB86-49CD-AB49-E625D10EE355}" name="ST4" dataDxfId="945"/>
    <tableColumn id="14" xr3:uid="{DF3F23F5-9165-4B8C-865D-EA3FDAC51393}" name="ST5" dataDxfId="944"/>
    <tableColumn id="15" xr3:uid="{C52ED56A-FDF6-4651-A43E-A4297D75F042}" name="ST6" dataDxfId="943"/>
    <tableColumn id="16" xr3:uid="{059C5CEC-0075-4972-A116-A4FC57EF3AB4}" name="ST7" dataDxfId="942"/>
    <tableColumn id="17" xr3:uid="{0AA78F63-2383-449F-B2D5-90AED81BF5F5}" name="ST8" dataDxfId="941"/>
    <tableColumn id="18" xr3:uid="{13B85D41-AE00-44B8-ADEA-BC2A96A3AD34}" name="Comments" dataDxfId="940"/>
  </tableColumns>
  <tableStyleInfo name="TableStyleLight16"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DE2280D0-1816-44BD-B51D-97CAD70022C3}" name="Table59" displayName="Table59" ref="A114:R119" insertRowShift="1" totalsRowShown="0" headerRowDxfId="939" dataDxfId="938">
  <autoFilter ref="A114:R119" xr:uid="{A248EB7B-2A42-40E5-8592-14595E56907F}"/>
  <tableColumns count="18">
    <tableColumn id="1" xr3:uid="{26BFB409-5C9F-4175-B5CE-2CCB3D2AA9A1}" name="Course Number" dataDxfId="937">
      <calculatedColumnFormula>"PAED"&amp;TEXT(Table59[[#This Row],[Count]],"000")&amp;"."&amp;IF(Table59[[#This Row],[Category]]="Cat 1","1",IF(Table59[[#This Row],[Category]]="Cat 2","2",IF(Table59[[#This Row],[Category]]="Cat 3","3","O")))</calculatedColumnFormula>
    </tableColumn>
    <tableColumn id="2" xr3:uid="{820C4C4B-225D-4B0F-8C7C-C509AFED0764}" name="Count" dataDxfId="936">
      <calculatedColumnFormula>MAX(Table58[Count])+ROWS(INDEX(Table59[Count],1):Table59[[#This Row],[Count]])</calculatedColumnFormula>
    </tableColumn>
    <tableColumn id="3" xr3:uid="{0F0A4155-D89C-484E-8634-F35B74E62026}" name="Specialty / Programme" dataDxfId="935"/>
    <tableColumn id="4" xr3:uid="{0E9A4131-5425-4F82-A3DE-910C1B4902B1}" name="Event/Course Title" dataDxfId="934"/>
    <tableColumn id="5" xr3:uid="{A5F98838-BEA8-4EA8-9E6D-41CCC237DAA8}" name="Category" dataDxfId="933"/>
    <tableColumn id="6" xr3:uid="{7119658F-06E6-4726-8EFA-25EC8B750CC0}" name="All" dataDxfId="932"/>
    <tableColumn id="7" xr3:uid="{A9B0081F-DCDE-4393-A8C2-B334EE827E89}" name="CT1" dataDxfId="931"/>
    <tableColumn id="8" xr3:uid="{56D0859B-5B98-4454-AFD3-3F7EC036043A}" name="CT2" dataDxfId="930"/>
    <tableColumn id="9" xr3:uid="{44F6660B-628E-483B-8DA9-D6A13759575C}" name="CT3" dataDxfId="929"/>
    <tableColumn id="10" xr3:uid="{E8FF52E0-C7B3-4103-BBFD-AD0C90D4985B}" name="ST1" dataDxfId="928"/>
    <tableColumn id="11" xr3:uid="{3EC9DA13-A70A-41D7-878F-5CF9EF77CD95}" name="ST2" dataDxfId="927"/>
    <tableColumn id="12" xr3:uid="{127A7795-7F60-4AE3-BAA5-C8DA7B073612}" name="ST3" dataDxfId="926"/>
    <tableColumn id="13" xr3:uid="{5296E0FC-5D3B-4572-9009-EC7B8A32E51D}" name="ST4" dataDxfId="925"/>
    <tableColumn id="14" xr3:uid="{50D0ABD2-07EE-4A16-BA01-97706C0AB60B}" name="ST5" dataDxfId="924"/>
    <tableColumn id="15" xr3:uid="{D0261587-37FC-4529-B95D-FC286A0D3E22}" name="ST6" dataDxfId="923"/>
    <tableColumn id="16" xr3:uid="{D35D39C4-AF28-41FC-958B-D58ABA10CBA8}" name="ST7" dataDxfId="922"/>
    <tableColumn id="17" xr3:uid="{16096005-653B-4690-8974-8BD9E538D84A}" name="ST8" dataDxfId="921"/>
    <tableColumn id="18" xr3:uid="{59969426-6A32-45EC-8091-646B7B5F217C}" name="Comments" dataDxfId="920"/>
  </tableColumns>
  <tableStyleInfo name="TableStyleLight16"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F468F17F-2B5D-4191-99A0-1AE68372237C}" name="Table64" displayName="Table64" ref="A168:R171" insertRowShift="1" totalsRowShown="0" headerRowDxfId="919" dataDxfId="918">
  <autoFilter ref="A168:R171" xr:uid="{D7C7A752-39B6-4877-B0A2-B2C33B860AE9}"/>
  <tableColumns count="18">
    <tableColumn id="1" xr3:uid="{5F64DBC6-0A67-4A85-973C-55D576DE7A24}" name="Course Number" dataDxfId="917">
      <calculatedColumnFormula>"PAED"&amp;TEXT(Table64[[#This Row],[Count]],"000")&amp;"."&amp;IF(Table64[[#This Row],[Category]]="Cat 1","1",IF(Table64[[#This Row],[Category]]="Cat 2","2",IF(Table64[[#This Row],[Category]]="Cat 3","3","O")))</calculatedColumnFormula>
    </tableColumn>
    <tableColumn id="2" xr3:uid="{EE245D32-0BAD-48BE-A343-312AE88935A1}" name="Count" dataDxfId="916">
      <calculatedColumnFormula>MAX(Table63[Count])+ROWS(INDEX(Table64[Count],1):Table64[[#This Row],[Count]])</calculatedColumnFormula>
    </tableColumn>
    <tableColumn id="3" xr3:uid="{0F8F71A5-3154-4530-B323-E68D81DE13B3}" name="Specialty / Programme" dataDxfId="915"/>
    <tableColumn id="4" xr3:uid="{4D331EB5-041B-417B-8F1A-CA031788FF2A}" name="Event/Course Title" dataDxfId="914"/>
    <tableColumn id="5" xr3:uid="{7FA1817C-6151-47C0-807E-B2D0D1696CE4}" name="Category" dataDxfId="913"/>
    <tableColumn id="6" xr3:uid="{BAABC656-819A-4BDC-B98F-82383997AD3F}" name="All" dataDxfId="912"/>
    <tableColumn id="7" xr3:uid="{50EC7AF1-030F-4D50-9F48-A06EC6FAB7EB}" name="CT1" dataDxfId="911"/>
    <tableColumn id="8" xr3:uid="{8CB5BB21-942C-4240-A7E7-46CCCD233FD8}" name="CT2" dataDxfId="910"/>
    <tableColumn id="9" xr3:uid="{22F5C8AC-20D6-4420-AA03-4CDB948A2D03}" name="CT3" dataDxfId="909"/>
    <tableColumn id="10" xr3:uid="{89B09145-860D-4CD1-BAC0-8E27B9C701F0}" name="ST1" dataDxfId="908"/>
    <tableColumn id="11" xr3:uid="{083EFA9F-4E69-4A20-B3DF-E1147EEB688B}" name="ST2" dataDxfId="907"/>
    <tableColumn id="12" xr3:uid="{5367DD63-EB3C-467F-9380-60B808E1FBD5}" name="ST3" dataDxfId="906"/>
    <tableColumn id="13" xr3:uid="{ECD7796C-4D70-4374-BA42-CFDFD45A8297}" name="ST4" dataDxfId="905"/>
    <tableColumn id="14" xr3:uid="{639A160A-1E83-4056-8D8C-C9FB7AC440F6}" name="ST5" dataDxfId="904"/>
    <tableColumn id="15" xr3:uid="{C0728B5D-92C7-499F-AACA-3AB860C437D3}" name="ST6" dataDxfId="903"/>
    <tableColumn id="16" xr3:uid="{B49BECFC-2500-4C11-8013-B9D932B30287}" name="ST7" dataDxfId="902"/>
    <tableColumn id="17" xr3:uid="{319C18B8-FEA9-4C87-8079-DAB979666AAF}" name="ST8" dataDxfId="901"/>
    <tableColumn id="18" xr3:uid="{9DD1A397-3A86-4DD7-8ADD-C17D973C1B90}" name="Comments" dataDxfId="900"/>
  </tableColumns>
  <tableStyleInfo name="TableStyleLight16"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46B415E4-5447-4E7E-9151-D7C28141B9F7}" name="Table60" displayName="Table60" ref="A123:R132" insertRowShift="1" totalsRowShown="0" headerRowDxfId="899" dataDxfId="898">
  <autoFilter ref="A123:R132" xr:uid="{8FD2E740-F3FC-4863-9404-205376FC7A18}"/>
  <tableColumns count="18">
    <tableColumn id="1" xr3:uid="{6D450A3A-5229-4E11-8F2D-7342893266F5}" name="Course Number" dataDxfId="897">
      <calculatedColumnFormula>"PAED"&amp;TEXT(Table60[[#This Row],[Count]],"000")&amp;"."&amp;IF(Table60[[#This Row],[Category]]="Cat 1","1",IF(Table60[[#This Row],[Category]]="Cat 2","2",IF(Table60[[#This Row],[Category]]="Cat 3","3","O")))</calculatedColumnFormula>
    </tableColumn>
    <tableColumn id="2" xr3:uid="{2F313A06-234E-4125-BF2C-8777692A4455}" name="Count" dataDxfId="896">
      <calculatedColumnFormula>MAX(Table59[Count])+ROWS(INDEX(Table60[Count],1):Table60[[#This Row],[Count]])</calculatedColumnFormula>
    </tableColumn>
    <tableColumn id="3" xr3:uid="{AAF26B45-11DF-407B-BFCA-417DFD1F4E12}" name="Specialty / Programme" dataDxfId="895"/>
    <tableColumn id="4" xr3:uid="{17FBDABD-BE60-4D3E-BD30-790CBD5D3841}" name="Event/Course Title" dataDxfId="894"/>
    <tableColumn id="5" xr3:uid="{141A73E9-6C16-44AC-89C6-E10A9F593042}" name="Category" dataDxfId="893"/>
    <tableColumn id="6" xr3:uid="{E4C4BE56-B3B5-4AAE-AA14-D818AAC34FDB}" name="All" dataDxfId="892"/>
    <tableColumn id="7" xr3:uid="{0C13FDAF-0F2D-4344-BFC7-4958C0E52DD7}" name="CT1" dataDxfId="891"/>
    <tableColumn id="8" xr3:uid="{6ACB9B60-6497-410C-A6F4-FF5EF3C3306A}" name="CT2" dataDxfId="890"/>
    <tableColumn id="9" xr3:uid="{4D86F168-BA84-4243-98E1-CC2DFB3EF59B}" name="CT3" dataDxfId="889"/>
    <tableColumn id="10" xr3:uid="{789E3BF4-944D-4FF6-B41F-6C447B41F891}" name="ST1" dataDxfId="888"/>
    <tableColumn id="11" xr3:uid="{E447D774-B91C-466A-9B8D-7851B5A986BA}" name="ST2" dataDxfId="887"/>
    <tableColumn id="12" xr3:uid="{CBCCF1DC-C048-4B04-882E-0C9BBA11A253}" name="ST3" dataDxfId="886"/>
    <tableColumn id="13" xr3:uid="{E9856945-9C44-41CB-A11E-4D1686C8275E}" name="ST4" dataDxfId="885"/>
    <tableColumn id="14" xr3:uid="{57E20ECD-43B4-4D31-8098-A930B903ACDD}" name="ST5" dataDxfId="884"/>
    <tableColumn id="15" xr3:uid="{FB659424-54DD-4FBF-B8A1-D2A220CE3DE4}" name="ST6" dataDxfId="883"/>
    <tableColumn id="16" xr3:uid="{0341F184-7993-4586-9471-DBBEEDCD303D}" name="ST7" dataDxfId="882"/>
    <tableColumn id="17" xr3:uid="{8E54516D-AD69-448A-92D8-2CFBFBE5FFDA}" name="ST8" dataDxfId="881"/>
    <tableColumn id="18" xr3:uid="{E90CDA5F-5874-43E5-8519-CF90EC2B9CE0}" name="Comments" dataDxfId="880"/>
  </tableColumns>
  <tableStyleInfo name="TableStyleLight16"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9B683A72-CA82-43BA-816E-6CCC1DA187A4}" name="Table61" displayName="Table61" ref="A136:R150" insertRowShift="1" totalsRowShown="0" headerRowDxfId="879" dataDxfId="878">
  <autoFilter ref="A136:R150" xr:uid="{264D283E-D054-4944-B141-A639AEFA6D90}"/>
  <tableColumns count="18">
    <tableColumn id="1" xr3:uid="{D18045B2-93FC-441E-BBEE-D9F15800989A}" name="Course Number" dataDxfId="877">
      <calculatedColumnFormula>"PAED"&amp;TEXT(Table61[[#This Row],[Count]],"000")&amp;"."&amp;IF(Table61[[#This Row],[Category]]="Cat 1","1",IF(Table61[[#This Row],[Category]]="Cat 2","2",IF(Table61[[#This Row],[Category]]="Cat 3","3","O")))</calculatedColumnFormula>
    </tableColumn>
    <tableColumn id="2" xr3:uid="{95C2B1CC-C29D-424C-A1E2-199225117203}" name="Count" dataDxfId="876">
      <calculatedColumnFormula>MAX(Table60[Count])+ROWS(INDEX(Table61[Count],1):Table61[[#This Row],[Count]])</calculatedColumnFormula>
    </tableColumn>
    <tableColumn id="3" xr3:uid="{03E7BB01-6D71-444D-A40C-CA929FCC73C5}" name="Specialty / Programme" dataDxfId="875"/>
    <tableColumn id="4" xr3:uid="{C0AD9966-34D9-4076-9052-EE1DFF196A56}" name="Event/Course Title" dataDxfId="874"/>
    <tableColumn id="5" xr3:uid="{12B01729-5DC7-433A-B2EE-93E3DD700C00}" name="Category" dataDxfId="873"/>
    <tableColumn id="6" xr3:uid="{7DE67653-7FC6-4380-BE7B-8CB2470D3E0B}" name="All" dataDxfId="872"/>
    <tableColumn id="7" xr3:uid="{666EA410-80E9-481D-B90C-A1D7414D4428}" name="CT1" dataDxfId="871"/>
    <tableColumn id="8" xr3:uid="{F4FB645F-D992-4D2A-B8BA-24699FEBD45F}" name="CT2" dataDxfId="870"/>
    <tableColumn id="9" xr3:uid="{BA988803-4E04-4C82-B668-F4C245AE54F1}" name="CT3" dataDxfId="869"/>
    <tableColumn id="10" xr3:uid="{7AD43D47-C217-496B-8F3D-6CC6B4F3312C}" name="ST1" dataDxfId="868"/>
    <tableColumn id="11" xr3:uid="{E0E092E7-FD9C-4C2E-B304-22F4A974CD50}" name="ST2" dataDxfId="867"/>
    <tableColumn id="12" xr3:uid="{AFC1FF7A-60FC-45A3-8AC2-6B8CBEFD2646}" name="ST3" dataDxfId="866"/>
    <tableColumn id="13" xr3:uid="{B7B73711-57FE-424F-8F31-FE8F05CF38DC}" name="ST4" dataDxfId="865"/>
    <tableColumn id="14" xr3:uid="{65E0153B-B4F4-43F0-A20A-F5FC273230BC}" name="ST5" dataDxfId="864"/>
    <tableColumn id="15" xr3:uid="{08D24235-DF57-4E37-B9E9-2B38027ACED6}" name="ST6" dataDxfId="863"/>
    <tableColumn id="16" xr3:uid="{975639BB-8CFB-40DE-BA89-71DCF557D9F6}" name="ST7" dataDxfId="862"/>
    <tableColumn id="17" xr3:uid="{DDCD2F52-5F29-4EA6-8D78-659597B2EDFC}" name="ST8" dataDxfId="861"/>
    <tableColumn id="18" xr3:uid="{3A1CD274-A09B-4453-80F5-3AFF9846A431}" name="Comments" dataDxfId="860"/>
  </tableColumns>
  <tableStyleInfo name="TableStyleLight16"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38127DB-B5C3-40BD-8F29-4AC539861235}" name="Table62" displayName="Table62" ref="A154:R157" insertRowShift="1" totalsRowShown="0" headerRowDxfId="859" dataDxfId="858">
  <autoFilter ref="A154:R157" xr:uid="{AF7FD2FE-4E30-45F8-A391-F160E1AC2214}"/>
  <tableColumns count="18">
    <tableColumn id="1" xr3:uid="{CC01B9BE-4549-4439-8944-E0870D84A5E6}" name="Course Number" dataDxfId="857">
      <calculatedColumnFormula>"PAED"&amp;TEXT(Table62[[#This Row],[Count]],"000")&amp;"."&amp;IF(Table62[[#This Row],[Category]]="Cat 1","1",IF(Table62[[#This Row],[Category]]="Cat 2","2",IF(Table62[[#This Row],[Category]]="Cat 3","3","O")))</calculatedColumnFormula>
    </tableColumn>
    <tableColumn id="2" xr3:uid="{437429FC-F793-4D34-B911-10F6974E631E}" name="Count" dataDxfId="856">
      <calculatedColumnFormula>MAX(Table61[Count])+ROWS(INDEX(Table62[Count],1):Table62[[#This Row],[Count]])</calculatedColumnFormula>
    </tableColumn>
    <tableColumn id="3" xr3:uid="{B3D3C846-C481-494F-B52E-5C0D31D69C5D}" name="Specialty / Programme" dataDxfId="855"/>
    <tableColumn id="4" xr3:uid="{443603F4-6492-4A71-8571-2D5BE839E721}" name="Event/Course Title" dataDxfId="854"/>
    <tableColumn id="5" xr3:uid="{E12DCB1A-D7A1-40ED-9278-F46A3491E7A3}" name="Category" dataDxfId="853"/>
    <tableColumn id="6" xr3:uid="{16F82A80-2626-4B22-8811-60B154F2296C}" name="All" dataDxfId="852"/>
    <tableColumn id="7" xr3:uid="{84EAF5CB-9FF5-4B1F-B851-B961C673A5B4}" name="CT1" dataDxfId="851"/>
    <tableColumn id="8" xr3:uid="{942EE4FE-58FC-457A-A32D-B16BDBF94243}" name="CT2" dataDxfId="850"/>
    <tableColumn id="9" xr3:uid="{D6AC7F0A-B601-4473-BEC3-4279FDBADD67}" name="CT3" dataDxfId="849"/>
    <tableColumn id="10" xr3:uid="{74338B24-DFF9-4000-AFBF-E34A22A62C87}" name="ST1" dataDxfId="848"/>
    <tableColumn id="11" xr3:uid="{751F5FEA-7551-47FA-BD5C-51DCA8694457}" name="ST2" dataDxfId="847"/>
    <tableColumn id="12" xr3:uid="{F4A91F9C-F6B3-4ECA-9092-C49413A427B2}" name="ST3" dataDxfId="846"/>
    <tableColumn id="13" xr3:uid="{B1D6D2EC-B64D-4B05-A1DA-FD1888516A9B}" name="ST4" dataDxfId="845"/>
    <tableColumn id="14" xr3:uid="{F26E5E53-D743-4103-845F-3677AB963869}" name="ST5" dataDxfId="844"/>
    <tableColumn id="15" xr3:uid="{0918F8C7-D859-432B-AEEF-DD95F12F4B9C}" name="ST6" dataDxfId="843"/>
    <tableColumn id="16" xr3:uid="{346214E6-BB31-4D02-BDFC-F925FAC27D31}" name="ST7" dataDxfId="842"/>
    <tableColumn id="17" xr3:uid="{22BDECB1-E319-453E-8276-3F846E5FC372}" name="ST8" dataDxfId="841"/>
    <tableColumn id="18" xr3:uid="{FE465522-67E2-4D87-8EAE-F65FB2F802ED}" name="Comments" dataDxfId="840"/>
  </tableColumns>
  <tableStyleInfo name="TableStyleLight16"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EA29C677-A057-4E51-9753-E95CE388D741}" name="Table63" displayName="Table63" ref="A161:R165" insertRowShift="1" totalsRowShown="0" headerRowDxfId="839" dataDxfId="838">
  <autoFilter ref="A161:R165" xr:uid="{A65E45F9-A832-4E49-B770-60E3542C20E0}"/>
  <tableColumns count="18">
    <tableColumn id="1" xr3:uid="{8C134813-36D9-4CF0-868E-45F3634435D9}" name="Course Number" dataDxfId="837">
      <calculatedColumnFormula>"PAED"&amp;TEXT(Table63[[#This Row],[Count]],"000")&amp;"."&amp;IF(Table63[[#This Row],[Category]]="Cat 1","1",IF(Table63[[#This Row],[Category]]="Cat 2","2",IF(Table63[[#This Row],[Category]]="Cat 3","3","O")))</calculatedColumnFormula>
    </tableColumn>
    <tableColumn id="2" xr3:uid="{77639E51-4627-419D-B328-2F8160A8AB45}" name="Count" dataDxfId="836">
      <calculatedColumnFormula>MAX(Table62[Count])+ROWS(INDEX(Table63[Count],1):Table63[[#This Row],[Count]])</calculatedColumnFormula>
    </tableColumn>
    <tableColumn id="3" xr3:uid="{E7A1B41D-8DE7-48C0-969C-BA8455690BAA}" name="Specialty / Programme" dataDxfId="835"/>
    <tableColumn id="4" xr3:uid="{18F932EC-590D-4F89-A2A1-6463956227F7}" name="Event/Course Title" dataDxfId="834"/>
    <tableColumn id="5" xr3:uid="{6738CC60-B68C-49F5-A154-8147AA0EDF50}" name="Category" dataDxfId="833"/>
    <tableColumn id="6" xr3:uid="{801CB646-F283-4DB6-AA6C-CB33B32C1A9E}" name="All" dataDxfId="832"/>
    <tableColumn id="7" xr3:uid="{DE37A82A-901D-4385-AC3D-D9946D42B230}" name="CT1" dataDxfId="831"/>
    <tableColumn id="8" xr3:uid="{139711A5-82C4-42B0-B36E-45B73381AF91}" name="CT2" dataDxfId="830"/>
    <tableColumn id="9" xr3:uid="{1DF39EE5-5B87-454B-9ABA-351445A9F733}" name="CT3" dataDxfId="829"/>
    <tableColumn id="10" xr3:uid="{57F4DA73-AE55-40C9-A465-1CE49D588D43}" name="ST1" dataDxfId="828"/>
    <tableColumn id="11" xr3:uid="{84AC0D45-8980-4838-A089-DBFA87A5CE31}" name="ST2" dataDxfId="827"/>
    <tableColumn id="12" xr3:uid="{842DB787-5E00-4DBC-8047-62066F4042A8}" name="ST3" dataDxfId="826"/>
    <tableColumn id="13" xr3:uid="{51021DF3-B1AA-446A-9743-F53E0B3B7242}" name="ST4" dataDxfId="825"/>
    <tableColumn id="14" xr3:uid="{3F61C704-201B-4EBA-9905-21A4F0B0481C}" name="ST5" dataDxfId="824"/>
    <tableColumn id="15" xr3:uid="{0BBC7E70-336A-4BF9-A8BA-B45392DEFA64}" name="ST6" dataDxfId="823"/>
    <tableColumn id="16" xr3:uid="{C7491ECD-2E57-43BA-9824-DFF1BB1FA5B8}" name="ST7" dataDxfId="822"/>
    <tableColumn id="17" xr3:uid="{ABF4669A-5203-4B53-B198-B3DA56C5FC8D}" name="ST8" dataDxfId="821"/>
    <tableColumn id="18" xr3:uid="{01BFC7B5-1548-4D51-BA05-3D44D9233786}" name="Comments" dataDxfId="820"/>
  </tableColumns>
  <tableStyleInfo name="TableStyleLight16"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2B41A97-CE05-4A59-A21F-7F64D0999BB1}" name="Table65" displayName="Table65" ref="A175:R257" insertRowShift="1" totalsRowShown="0" headerRowDxfId="819" dataDxfId="818">
  <autoFilter ref="A175:R257" xr:uid="{4353504B-AC8B-4E65-829A-6B7D7A2E0D24}"/>
  <tableColumns count="18">
    <tableColumn id="1" xr3:uid="{CB24D84A-0CA6-4D34-8091-CF1E09C50ACB}" name="Course Number" dataDxfId="817">
      <calculatedColumnFormula>"PAED"&amp;TEXT(Table65[[#This Row],[Count]],"000")&amp;"."&amp;IF(Table65[[#This Row],[Category]]="Cat 1","1",IF(Table65[[#This Row],[Category]]="Cat 2","2",IF(Table65[[#This Row],[Category]]="Cat 3","3","O")))</calculatedColumnFormula>
    </tableColumn>
    <tableColumn id="2" xr3:uid="{69B30711-09F7-49DE-8EB4-9AFA518D05F4}" name="Count" dataDxfId="816">
      <calculatedColumnFormula>MAX(Table64[Count])+ROWS(INDEX(Table65[Count],1):Table65[[#This Row],[Count]])</calculatedColumnFormula>
    </tableColumn>
    <tableColumn id="3" xr3:uid="{0A4D2BBF-2690-4C1F-B023-9FB00D7932B5}" name="Specialty / Programme" dataDxfId="815"/>
    <tableColumn id="4" xr3:uid="{B01C17C9-F422-4EE4-9422-4B9967F30F69}" name="Event/Course Title" dataDxfId="814"/>
    <tableColumn id="5" xr3:uid="{9EFEFCBB-03D8-4423-9693-1EAA97BE0980}" name="Category" dataDxfId="813"/>
    <tableColumn id="6" xr3:uid="{B4ED7529-1B7A-446F-B7D5-09C252F924E2}" name="All" dataDxfId="812"/>
    <tableColumn id="7" xr3:uid="{D2AC53DE-99C9-4C10-A62E-61E7E68105D6}" name="CT1" dataDxfId="811"/>
    <tableColumn id="8" xr3:uid="{5432F70C-C729-4D65-ABA6-ABFC4FE75762}" name="CT2" dataDxfId="810"/>
    <tableColumn id="9" xr3:uid="{CCFF78CF-18B3-435C-9317-7CE4FF1FC25C}" name="CT3" dataDxfId="809"/>
    <tableColumn id="10" xr3:uid="{9A65AD36-0BCE-48E8-8899-9199116054C4}" name="ST1" dataDxfId="808"/>
    <tableColumn id="11" xr3:uid="{460412E9-1C83-42F4-9FBF-13EE3EC6BA36}" name="ST2" dataDxfId="807"/>
    <tableColumn id="12" xr3:uid="{25A4BABE-D300-4500-BF3E-DAA131F9510C}" name="ST3" dataDxfId="806"/>
    <tableColumn id="13" xr3:uid="{DDBCE1A8-980A-448F-B3C2-451E41BD0DFB}" name="ST4" dataDxfId="805"/>
    <tableColumn id="14" xr3:uid="{F3B6C8CF-31E9-47E1-9AB2-3B83CC3ECFBB}" name="ST5" dataDxfId="804"/>
    <tableColumn id="15" xr3:uid="{425D9D4B-7B73-4D01-93C0-130F7C6FF120}" name="ST6" dataDxfId="803"/>
    <tableColumn id="16" xr3:uid="{B7BE5A7E-9794-41C7-9668-5DEE34028CBF}" name="ST7" dataDxfId="802"/>
    <tableColumn id="17" xr3:uid="{ADE1DF6F-C29C-4AB8-B267-89B8F8BB49F7}" name="ST8" dataDxfId="801"/>
    <tableColumn id="18" xr3:uid="{26D7AA94-7E23-47CA-B699-2162D7E7035C}" name="Comments" dataDxfId="800"/>
  </tableColumns>
  <tableStyleInfo name="TableStyleLight16"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AF60F6A2-35BC-400F-89BD-7E5AC428D71F}" name="Table5780" displayName="Table5780" ref="A261:R263" insertRowShift="1" totalsRowShown="0" headerRowDxfId="799" dataDxfId="798">
  <autoFilter ref="A261:R263" xr:uid="{AF60F6A2-35BC-400F-89BD-7E5AC428D71F}"/>
  <tableColumns count="18">
    <tableColumn id="1" xr3:uid="{C699DF51-0774-4385-A7DF-073B4566F7AE}" name="Course Number" dataDxfId="797">
      <calculatedColumnFormula>"PAED"&amp;TEXT(Table5780[[#This Row],[Count]],"000")&amp;"."&amp;IF(Table5780[[#This Row],[Category]]="Essential","E",IF(Table5780[[#This Row],[Category]]="Discretionary","D","O"))</calculatedColumnFormula>
    </tableColumn>
    <tableColumn id="2" xr3:uid="{F7E0CFEE-C26D-4EAD-AEDA-4D5B2C5F33D3}" name="Count" dataDxfId="796">
      <calculatedColumnFormula>MAX(Table65[Count])+ROWS(INDEX(Table5780[Count],1):Table5780[[#This Row],[Count]])</calculatedColumnFormula>
    </tableColumn>
    <tableColumn id="3" xr3:uid="{67535C46-8873-4321-8CD2-FA4ABCD9E71D}" name="Specialty / Programme" dataDxfId="795"/>
    <tableColumn id="4" xr3:uid="{F892E176-D735-4252-8684-8FD835E301B9}" name="Event/Course Title" dataDxfId="794"/>
    <tableColumn id="5" xr3:uid="{6514CF3C-FF8F-4E3C-8106-4456084F969D}" name="Category" dataDxfId="793"/>
    <tableColumn id="6" xr3:uid="{0B318496-60EF-4141-A0E1-B330FA0B33E0}" name="All" dataDxfId="792"/>
    <tableColumn id="7" xr3:uid="{B6AFD0C2-E9EB-476A-B22B-BD6AB7B5518E}" name="CT1" dataDxfId="791"/>
    <tableColumn id="8" xr3:uid="{AC44A92F-6911-48FD-AD2F-11545E1CEDBC}" name="CT2" dataDxfId="790"/>
    <tableColumn id="9" xr3:uid="{9A051CC7-D7C9-4E8D-BCDC-552921F68A88}" name="CT3" dataDxfId="789"/>
    <tableColumn id="10" xr3:uid="{3E65BF1D-19F5-40CB-96F3-C9272450CD36}" name="ST1" dataDxfId="788"/>
    <tableColumn id="11" xr3:uid="{650BF23C-9619-452C-BD26-A72AA25A56FF}" name="ST2" dataDxfId="787"/>
    <tableColumn id="12" xr3:uid="{83068ADC-653C-4761-A950-CB246E307B2F}" name="ST3" dataDxfId="786"/>
    <tableColumn id="13" xr3:uid="{EC5D47EA-74FE-446A-97D8-FDC13D6D3A03}" name="ST4" dataDxfId="785"/>
    <tableColumn id="14" xr3:uid="{F22AD0FB-C9CE-4DF0-84DA-F96FCFC3DE30}" name="ST5" dataDxfId="784"/>
    <tableColumn id="15" xr3:uid="{BFE1E9A5-0A1F-4F1F-A36E-7DEACE93F381}" name="ST6" dataDxfId="783"/>
    <tableColumn id="16" xr3:uid="{D91BA070-05B4-44C5-B13C-7C3020150156}" name="ST7" dataDxfId="782"/>
    <tableColumn id="17" xr3:uid="{1F91F689-6E5F-4D45-B53E-7640B7B0648F}" name="ST8" dataDxfId="781"/>
    <tableColumn id="18" xr3:uid="{935EBB6D-9633-4C71-BA17-6EF386802D79}" name="Comments" dataDxfId="780"/>
  </tableColumns>
  <tableStyleInfo name="TableStyleLight16"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323656E7-0659-417B-8446-49AF648B8B1D}" name="Table66" displayName="Table66" ref="A5:R12" totalsRowShown="0" headerRowDxfId="779" tableBorderDxfId="778">
  <autoFilter ref="A5:R12" xr:uid="{C1DC213D-E22E-41C4-AAD1-1E326EB8938D}"/>
  <sortState xmlns:xlrd2="http://schemas.microsoft.com/office/spreadsheetml/2017/richdata2" ref="A6:R9">
    <sortCondition ref="D5:D9"/>
  </sortState>
  <tableColumns count="18">
    <tableColumn id="1" xr3:uid="{1BA2071B-22F6-4C0D-9094-77D33A12EA46}" name="Course Number" dataDxfId="777">
      <calculatedColumnFormula>"PATH"&amp;TEXT(Table66[[#This Row],[Count]],"000")&amp;"."&amp;IF(Table66[[#This Row],[Category]]="Cat 1","1",IF(Table66[[#This Row],[Category]]="Cat 2","2",IF(Table66[[#This Row],[Category]]="Cat 3","3","O")))</calculatedColumnFormula>
    </tableColumn>
    <tableColumn id="2" xr3:uid="{872A6AD6-2E5C-476B-90A9-2B65DFCCF76C}" name="Count" dataDxfId="776">
      <calculatedColumnFormula>ROW()-ROW(Table66[[#Headers],[Count]])</calculatedColumnFormula>
    </tableColumn>
    <tableColumn id="18" xr3:uid="{AA4E11E2-CA3A-4CF9-A8B9-150F7C495464}" name="Specialty / Programme" dataDxfId="775"/>
    <tableColumn id="3" xr3:uid="{F32286DD-430D-4F70-992E-A8251C5FBE08}" name="Event/Course Title" dataDxfId="774"/>
    <tableColumn id="4" xr3:uid="{9DD77E66-9E90-4B7E-A9C6-CC09E9C7070B}" name="Category" dataDxfId="773"/>
    <tableColumn id="5" xr3:uid="{8CB5EFA9-6885-4CFF-89C0-70EA83386393}" name="All" dataDxfId="772"/>
    <tableColumn id="6" xr3:uid="{34EF8685-D09F-44ED-AE82-A212F53DA731}" name="CT1" dataDxfId="771"/>
    <tableColumn id="7" xr3:uid="{068845D1-9445-4752-A3ED-3468724D4718}" name="CT2" dataDxfId="770"/>
    <tableColumn id="8" xr3:uid="{AA615156-FC9A-4EB5-9EB3-E63246563184}" name="CT3" dataDxfId="769"/>
    <tableColumn id="9" xr3:uid="{619FC7D4-68CF-4B50-90FE-F92D8653BDF4}" name="ST1" dataDxfId="768"/>
    <tableColumn id="10" xr3:uid="{A281B3AC-3956-4F17-996C-7F27BABA3B77}" name="ST2" dataDxfId="767"/>
    <tableColumn id="11" xr3:uid="{E52C7F5A-9E5C-4148-81D5-A01EE7D34B2B}" name="ST3" dataDxfId="766"/>
    <tableColumn id="12" xr3:uid="{BE57AD3A-3EB5-4CCE-B56C-8073988E4150}" name="ST4" dataDxfId="765"/>
    <tableColumn id="13" xr3:uid="{EB71F6E2-98B8-4F3F-A29A-954394944253}" name="ST5" dataDxfId="764"/>
    <tableColumn id="14" xr3:uid="{81561821-67F3-4AD0-9942-99B158EACC10}" name="ST6" dataDxfId="763"/>
    <tableColumn id="15" xr3:uid="{C00C3CC5-DD1F-4A37-858A-C3E7388DB876}" name="ST7" dataDxfId="762"/>
    <tableColumn id="16" xr3:uid="{7CBB5CD0-7506-4485-90CC-EDB52E5E5B4C}" name="ST8" dataDxfId="761"/>
    <tableColumn id="17" xr3:uid="{E0D48B8B-C2E2-4F96-B220-70F801D17AE4}" name="Comments" dataDxfId="760"/>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AB70CC9-DA8D-42E9-B47F-A6ED26AC6532}" name="Table6" displayName="Table6" ref="A13:R18" totalsRowShown="0" headerRowDxfId="1987" dataDxfId="1986">
  <autoFilter ref="A13:R18" xr:uid="{2B8F4669-61B9-479B-8403-96F1BCF220F5}"/>
  <sortState xmlns:xlrd2="http://schemas.microsoft.com/office/spreadsheetml/2017/richdata2" ref="A14:R18">
    <sortCondition ref="C13:C18"/>
  </sortState>
  <tableColumns count="18">
    <tableColumn id="1" xr3:uid="{9FEF8F23-2EEF-4F2D-B217-81A836E57526}" name="Course Number" dataDxfId="1985">
      <calculatedColumnFormula>"ACCS"&amp;TEXT(Table6[[#This Row],[Count]],"000")&amp;"."&amp;IF(Table6[[#This Row],[Category]]="Essential","E",IF(Table6[[#This Row],[Category]]="Discretionary","D","O"))</calculatedColumnFormula>
    </tableColumn>
    <tableColumn id="2" xr3:uid="{2F82705B-D1E5-46F3-8BBF-1E55802E7F1D}" name="Count" dataDxfId="1984">
      <calculatedColumnFormula>MAX(Table5[Count])+ROWS(INDEX(Table6[Count],1):Table6[[#This Row],[Count]])</calculatedColumnFormula>
    </tableColumn>
    <tableColumn id="18" xr3:uid="{F38B1BAC-A5A3-40DC-BCB3-B951C0B99717}" name="Specialty / Programme" dataDxfId="1983"/>
    <tableColumn id="3" xr3:uid="{085ED2D5-867D-47D0-996C-AF721B9DA6ED}" name="Event/Course Title" dataDxfId="1982"/>
    <tableColumn id="4" xr3:uid="{3983484A-C2BA-4EAC-A6CB-8DF163376233}" name="Category" dataDxfId="1981"/>
    <tableColumn id="5" xr3:uid="{1309E670-8A97-4048-8BA3-5CBE0F285653}" name="All" dataDxfId="1980"/>
    <tableColumn id="6" xr3:uid="{D1AA6FFF-1F8A-4B1D-BB11-B5811FC50415}" name="CT1" dataDxfId="1979"/>
    <tableColumn id="7" xr3:uid="{5D42304F-A3BB-439A-A003-A60496DFE76C}" name="CT2" dataDxfId="1978"/>
    <tableColumn id="8" xr3:uid="{120D8C4A-1649-4EC2-85BC-CFCF2EC4BE69}" name="CT3" dataDxfId="1977"/>
    <tableColumn id="9" xr3:uid="{C5CF17E2-6E2E-40CC-BB78-102D2F3DFD88}" name="ST1" dataDxfId="1976"/>
    <tableColumn id="10" xr3:uid="{7ABDC65B-929C-4156-853E-F9382DF2E6A5}" name="ST2" dataDxfId="1975"/>
    <tableColumn id="11" xr3:uid="{E84EDEFB-D3EA-400E-9783-4C488D802529}" name="ST3" dataDxfId="1974"/>
    <tableColumn id="12" xr3:uid="{8254EC38-39BF-42A9-8B5F-3572A7E3AE99}" name="ST4" dataDxfId="1973"/>
    <tableColumn id="13" xr3:uid="{25E591EA-FFFA-4862-9F69-F5B7D9A34D50}" name="ST5" dataDxfId="1972"/>
    <tableColumn id="14" xr3:uid="{8B07D4DC-C37C-4670-84C7-E813736F2684}" name="ST6" dataDxfId="1971"/>
    <tableColumn id="15" xr3:uid="{8EA677BC-E3AA-40FB-900B-5737817F8C39}" name="ST7" dataDxfId="1970"/>
    <tableColumn id="16" xr3:uid="{00997FD5-A0BB-4AD1-8595-FBB8430A1178}" name="ST8" dataDxfId="1969"/>
    <tableColumn id="17" xr3:uid="{5A5B60E6-574D-4BAE-9A7A-02A6395F9934}" name="Comments" dataDxfId="1968"/>
  </tableColumns>
  <tableStyleInfo name="TableStyleLight16"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8D11C917-2A4E-4B9C-8322-CA53F5468533}" name="Table67" displayName="Table67" ref="A16:R23" totalsRowShown="0" headerRowDxfId="759" dataDxfId="758">
  <autoFilter ref="A16:R23" xr:uid="{2B8F4669-61B9-479B-8403-96F1BCF220F5}"/>
  <sortState xmlns:xlrd2="http://schemas.microsoft.com/office/spreadsheetml/2017/richdata2" ref="A17:R17">
    <sortCondition ref="D16:D17"/>
  </sortState>
  <tableColumns count="18">
    <tableColumn id="1" xr3:uid="{F8407E05-A05B-4BC6-9C0C-462100488F46}" name="Course Number" dataDxfId="757">
      <calculatedColumnFormula>"PATH"&amp;TEXT(Table67[[#This Row],[Count]],"000")&amp;"."&amp;IF(Table67[[#This Row],[Category]]="Cat 1","1",IF(Table67[[#This Row],[Category]]="Cat 2","2",IF(Table67[[#This Row],[Category]]="Cat 3","3","O")))</calculatedColumnFormula>
    </tableColumn>
    <tableColumn id="2" xr3:uid="{DA667C2A-FBC7-45F6-B87D-3EEFE48AF549}" name="Count" dataDxfId="756">
      <calculatedColumnFormula>MAX(Table66[Count])+ROWS(INDEX(Table67[Count],1):Table67[[#This Row],[Count]])</calculatedColumnFormula>
    </tableColumn>
    <tableColumn id="18" xr3:uid="{0FE1283E-43D9-4801-8DF2-63DE80E8210E}" name="Specialty / Programme" dataDxfId="755"/>
    <tableColumn id="3" xr3:uid="{9A729761-F0CF-442B-AE17-CF1EE7D27993}" name="Event/Course Title" dataDxfId="754"/>
    <tableColumn id="4" xr3:uid="{016D6965-9BE5-451E-8996-577173F6587F}" name="Category" dataDxfId="753"/>
    <tableColumn id="5" xr3:uid="{22CAA064-1C8C-4E96-B691-99C1871B2AB7}" name="All" dataDxfId="752"/>
    <tableColumn id="6" xr3:uid="{C477DD45-70DE-4FC8-B7D1-36D8C19598D9}" name="CT1" dataDxfId="751"/>
    <tableColumn id="7" xr3:uid="{569CA8AC-44AA-47B2-A79E-33FE388AC96A}" name="CT2" dataDxfId="750"/>
    <tableColumn id="8" xr3:uid="{C0CEDC7D-9187-411F-A5B9-0A40687FD481}" name="CT3" dataDxfId="749"/>
    <tableColumn id="9" xr3:uid="{A336CEFB-424C-41D7-B15D-11F4F28265C7}" name="ST1" dataDxfId="748"/>
    <tableColumn id="10" xr3:uid="{E041BA6F-87CB-4AEF-B4FF-A0664672BF1E}" name="ST2" dataDxfId="747"/>
    <tableColumn id="11" xr3:uid="{7E9D6A9E-3EC8-49C2-B295-71FDD56DAEF2}" name="ST3" dataDxfId="746"/>
    <tableColumn id="12" xr3:uid="{D08F5D20-1431-43FC-ADA8-CD948F27F6B3}" name="ST4" dataDxfId="745"/>
    <tableColumn id="13" xr3:uid="{BD0C78D1-3E54-4D97-BBFD-9F2604F61CFC}" name="ST5" dataDxfId="744"/>
    <tableColumn id="14" xr3:uid="{BC9292DC-578E-463B-ADBC-08DD69BC0F2C}" name="ST6" dataDxfId="743"/>
    <tableColumn id="15" xr3:uid="{12A62ADC-A9AC-4638-A049-437045836D74}" name="ST7" dataDxfId="742"/>
    <tableColumn id="16" xr3:uid="{6DE8A677-3C9D-467D-A54A-0CF8E1930DB8}" name="ST8" dataDxfId="741"/>
    <tableColumn id="17" xr3:uid="{A8CF5A54-4D27-474F-A360-3B878A230B69}" name="Comments" dataDxfId="740"/>
  </tableColumns>
  <tableStyleInfo name="TableStyleLight16"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70920450-8EEF-420E-87A4-C090B3399CE7}" name="Table68" displayName="Table68" ref="A26:R55" totalsRowShown="0" headerRowDxfId="739" dataDxfId="738">
  <autoFilter ref="A26:R55" xr:uid="{130C7BCC-2908-48DD-9F39-896AAB1B079D}"/>
  <sortState xmlns:xlrd2="http://schemas.microsoft.com/office/spreadsheetml/2017/richdata2" ref="A27:R36">
    <sortCondition ref="D26:D36"/>
  </sortState>
  <tableColumns count="18">
    <tableColumn id="1" xr3:uid="{FD40FBFB-B28A-4E93-A67A-7F2F01A88605}" name="Course Number" dataDxfId="737">
      <calculatedColumnFormula>"PATH"&amp;TEXT(Table68[[#This Row],[Count]],"000")&amp;"."&amp;IF(Table68[[#This Row],[Category]]="Cat 1","1",IF(Table68[[#This Row],[Category]]="Cat 2","2",IF(Table68[[#This Row],[Category]]="Cat 3","3","O")))</calculatedColumnFormula>
    </tableColumn>
    <tableColumn id="2" xr3:uid="{E8619993-52C4-460F-9B71-45C57FF54C2B}" name="Count" dataDxfId="736">
      <calculatedColumnFormula>MAX(Table67[Count])+ROWS(INDEX(Table68[Count],1):Table68[[#This Row],[Count]])</calculatedColumnFormula>
    </tableColumn>
    <tableColumn id="18" xr3:uid="{479AAB58-4AFE-4210-A039-233C91C0FDF0}" name="Specialty / Programme" dataDxfId="735"/>
    <tableColumn id="3" xr3:uid="{552CC902-7813-423B-87E4-BAAE6FA49206}" name="Event/Course Title" dataDxfId="734"/>
    <tableColumn id="4" xr3:uid="{C87BC7F7-9426-4C45-9D38-DC01A4FA5BB8}" name="Category" dataDxfId="733"/>
    <tableColumn id="5" xr3:uid="{7EE930EB-BB6B-4FFD-BFA8-C6B8BC5CE41D}" name="All" dataDxfId="732"/>
    <tableColumn id="6" xr3:uid="{E4B48616-0362-4C85-B6A2-FFDB272B7992}" name="CT1" dataDxfId="731"/>
    <tableColumn id="7" xr3:uid="{8BECF880-9AC9-445A-9813-C0E82F2EC3DA}" name="CT2" dataDxfId="730"/>
    <tableColumn id="8" xr3:uid="{C0ABD675-9BE2-4C9E-A5F3-9BDEA43FFF8D}" name="CT3" dataDxfId="729"/>
    <tableColumn id="9" xr3:uid="{A304A926-437F-42BE-B0DF-AF59A719BEE5}" name="ST1" dataDxfId="728"/>
    <tableColumn id="10" xr3:uid="{51D92950-AB18-4BEC-BB76-8BF2C662F820}" name="ST2" dataDxfId="727"/>
    <tableColumn id="11" xr3:uid="{D34B9E0C-9854-4089-B248-7E0BCCCBA898}" name="ST3" dataDxfId="726"/>
    <tableColumn id="12" xr3:uid="{AA49C554-9266-4CD9-8052-D114B2F1E305}" name="ST4" dataDxfId="725"/>
    <tableColumn id="13" xr3:uid="{CA571DE8-5DBD-4B52-8465-9AF84EAB14D0}" name="ST5" dataDxfId="724"/>
    <tableColumn id="14" xr3:uid="{9C801D15-D49D-43BB-80E3-13CC16F075EF}" name="ST6" dataDxfId="723"/>
    <tableColumn id="15" xr3:uid="{AD12ED27-164D-4051-9050-33D9A9298B59}" name="ST7" dataDxfId="722"/>
    <tableColumn id="16" xr3:uid="{D9C5541F-8DC1-420C-A625-5C3806B957D2}" name="ST8" dataDxfId="721"/>
    <tableColumn id="17" xr3:uid="{B35B79B8-E8B4-4020-99C9-4941C1E10847}" name="Comments" dataDxfId="720"/>
  </tableColumns>
  <tableStyleInfo name="TableStyleLight16"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FCE09668-6394-4596-9032-78F9631E649D}" name="Table69" displayName="Table69" ref="A59:R60" totalsRowShown="0" headerRowDxfId="719" dataDxfId="718">
  <autoFilter ref="A59:R60" xr:uid="{F24C6658-CB11-40B8-8945-AA9BB11A1DB6}"/>
  <sortState xmlns:xlrd2="http://schemas.microsoft.com/office/spreadsheetml/2017/richdata2" ref="A60:R60">
    <sortCondition ref="D59:D60"/>
  </sortState>
  <tableColumns count="18">
    <tableColumn id="1" xr3:uid="{2CD7F5B3-57C3-4F54-8161-52F259BDBAEB}" name="Course Number" dataDxfId="717"/>
    <tableColumn id="2" xr3:uid="{44A3E6F8-70FC-4140-9C35-948AEFFBD73D}" name="Count" dataDxfId="716">
      <calculatedColumnFormula>MAX(Table68[Count])+ROWS(INDEX(Table69[Count],1):Table69[[#This Row],[Count]])</calculatedColumnFormula>
    </tableColumn>
    <tableColumn id="18" xr3:uid="{B29DC6BC-5985-459C-B62A-45A127CB193A}" name="Specialty / Programme" dataDxfId="715"/>
    <tableColumn id="3" xr3:uid="{DA9E5885-D217-4E72-96DD-7838C7F8947F}" name="Event/Course Title" dataDxfId="714"/>
    <tableColumn id="4" xr3:uid="{55A348D8-208A-463F-A064-DDBFC0AA9E8C}" name="Category" dataDxfId="713"/>
    <tableColumn id="5" xr3:uid="{5B6C6E73-5706-4504-AF85-0E7CD8AC4DB4}" name="All" dataDxfId="712"/>
    <tableColumn id="6" xr3:uid="{913B2256-91E3-454A-B921-90EEC4D71C7A}" name="CT1" dataDxfId="711"/>
    <tableColumn id="7" xr3:uid="{3A15329D-1E8B-41E9-9FC5-2466D4CA241A}" name="CT2" dataDxfId="710"/>
    <tableColumn id="8" xr3:uid="{E48C3C95-D3D9-43AA-96AC-DD01FBC53632}" name="CT3" dataDxfId="709"/>
    <tableColumn id="9" xr3:uid="{6D7A4E90-138A-4CAA-AC4E-7D72208DF8F9}" name="ST1" dataDxfId="708"/>
    <tableColumn id="10" xr3:uid="{BFB61C89-00CC-4D0B-8E23-B2625A2EBF8D}" name="ST2" dataDxfId="707"/>
    <tableColumn id="11" xr3:uid="{9612D647-FFA4-4EBC-AE37-572A5EDE230D}" name="ST3" dataDxfId="706"/>
    <tableColumn id="12" xr3:uid="{B3AFD5C2-D95F-4119-9066-83926ADD940B}" name="ST4" dataDxfId="705"/>
    <tableColumn id="13" xr3:uid="{71896AD4-0383-4080-9071-0CC53A333057}" name="ST5" dataDxfId="704"/>
    <tableColumn id="14" xr3:uid="{7269C5DA-3E94-4527-A0A3-4D91582E0E27}" name="ST6" dataDxfId="703"/>
    <tableColumn id="15" xr3:uid="{66A7C7A8-5EC6-4146-9049-3AB2DB45DE33}" name="ST7" dataDxfId="702"/>
    <tableColumn id="16" xr3:uid="{588D7060-3588-4CC7-89E6-96AD0CB59F4C}" name="ST8" dataDxfId="701"/>
    <tableColumn id="17" xr3:uid="{8B0DBBC2-73B4-44B5-A323-DD06690F5C0E}" name="Comments" dataDxfId="700"/>
  </tableColumns>
  <tableStyleInfo name="TableStyleLight16"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FDA51941-0497-4BD3-BF21-5FF42C793E1C}" name="Table70" displayName="Table70" ref="A64:R78" totalsRowShown="0" headerRowDxfId="699">
  <autoFilter ref="A64:R78" xr:uid="{89EA2D32-36E6-4F44-A054-FC6BE9D6DA75}"/>
  <sortState xmlns:xlrd2="http://schemas.microsoft.com/office/spreadsheetml/2017/richdata2" ref="A65:R70">
    <sortCondition ref="D64:D70"/>
  </sortState>
  <tableColumns count="18">
    <tableColumn id="1" xr3:uid="{63F22BC9-9E04-4E48-88F3-2D188684E7BE}" name="Course Number" dataDxfId="698">
      <calculatedColumnFormula>"PATH"&amp;TEXT(Table70[[#This Row],[Count]],"000")&amp;"."&amp;IF(Table70[[#This Row],[Category]]="Cat 1","1",IF(Table70[[#This Row],[Category]]="Cat 2","2",IF(Table70[[#This Row],[Category]]="Cat 3","3","O")))</calculatedColumnFormula>
    </tableColumn>
    <tableColumn id="2" xr3:uid="{FCF4112A-AA2B-4585-908D-1A2CE9E38859}" name="Count" dataDxfId="697">
      <calculatedColumnFormula>MAX(Table69[Count])+ROWS(INDEX(Table70[Count],1):Table70[[#This Row],[Count]])</calculatedColumnFormula>
    </tableColumn>
    <tableColumn id="3" xr3:uid="{C42ACC05-D3D3-4486-AD66-E265CFABDB67}" name="Specialty / Programme" dataDxfId="696"/>
    <tableColumn id="4" xr3:uid="{D6E8240D-1B98-4116-99CA-8FB850EE3BD3}" name="Event/Course Title" dataDxfId="695"/>
    <tableColumn id="5" xr3:uid="{F6D303F8-E243-4B5B-9899-F780A6C1D4D3}" name="Category" dataDxfId="694"/>
    <tableColumn id="6" xr3:uid="{1ED48C2A-D5EE-4241-B4BF-81065C2552A8}" name="All" dataDxfId="693"/>
    <tableColumn id="7" xr3:uid="{8E625F79-DF3E-408D-AC05-06B7F4DC9094}" name="CT1" dataDxfId="692"/>
    <tableColumn id="8" xr3:uid="{3F152B19-8A1A-4918-892E-0E41FBA69DFF}" name="CT2" dataDxfId="691"/>
    <tableColumn id="9" xr3:uid="{94956927-BB11-42C2-BEC9-DE382EF6C2EA}" name="CT3" dataDxfId="690"/>
    <tableColumn id="10" xr3:uid="{91FE396C-CCC8-4843-A3E7-61175A76CCF9}" name="ST1" dataDxfId="689"/>
    <tableColumn id="11" xr3:uid="{E1E5F39B-17C3-4BAD-8B22-EB416554C439}" name="ST2" dataDxfId="688"/>
    <tableColumn id="12" xr3:uid="{25A259EF-5B5E-472E-8FE2-DEC21C519BDD}" name="ST3" dataDxfId="687"/>
    <tableColumn id="13" xr3:uid="{A4E954B1-884D-468A-ABEB-57FC2C989FFF}" name="ST4" dataDxfId="686"/>
    <tableColumn id="14" xr3:uid="{CF2FD2EE-E0BF-4F3E-A7C5-13A2B470219B}" name="ST5" dataDxfId="685"/>
    <tableColumn id="15" xr3:uid="{64AC0F76-694D-4B79-B4A5-92F076AFA84D}" name="ST6" dataDxfId="684"/>
    <tableColumn id="16" xr3:uid="{E5095262-6997-4E5A-A701-70CF4622A47E}" name="ST7" dataDxfId="683"/>
    <tableColumn id="17" xr3:uid="{F5FB8A1A-BE3A-45AE-91B3-B0E7EE2334D2}" name="ST8" dataDxfId="682"/>
    <tableColumn id="18" xr3:uid="{221CBD6D-BC28-4057-84CC-6A6E82EF859D}" name="Comments" dataDxfId="681"/>
  </tableColumns>
  <tableStyleInfo name="TableStyleLight16"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FA7B2278-D962-4F0C-BE98-D6CCB3A3CE6E}" name="Table71" displayName="Table71" ref="A82:R95" insertRowShift="1" totalsRowShown="0" headerRowDxfId="680" dataDxfId="679">
  <autoFilter ref="A82:R95" xr:uid="{530FDD2E-BA7F-4819-89A9-711C9526F97D}"/>
  <tableColumns count="18">
    <tableColumn id="1" xr3:uid="{87583B7C-B711-4BCF-850E-F040BDAE4300}" name="Course Number" dataDxfId="678">
      <calculatedColumnFormula>"PATH"&amp;TEXT(Table71[[#This Row],[Count]],"000")&amp;"."&amp;IF(Table71[[#This Row],[Category]]="Cat 1","1",IF(Table71[[#This Row],[Category]]="Cat 2","2",IF(Table71[[#This Row],[Category]]="Cat 3","3","O")))</calculatedColumnFormula>
    </tableColumn>
    <tableColumn id="2" xr3:uid="{375AEC19-9B1D-4EC4-883D-984578B8D021}" name="Count" dataDxfId="677">
      <calculatedColumnFormula>MAX(Table70[Count])+ROWS(INDEX(Table71[Count],1):Table71[[#This Row],[Count]])</calculatedColumnFormula>
    </tableColumn>
    <tableColumn id="3" xr3:uid="{6A2B2639-2709-49DB-B188-1E36FB0DF4E1}" name="Specialty / Programme" dataDxfId="676"/>
    <tableColumn id="4" xr3:uid="{C354A29A-09DD-4B97-8F15-8EA3F0E76936}" name="Event/Course Title" dataDxfId="675"/>
    <tableColumn id="5" xr3:uid="{6801DBF9-A9D1-4566-8C0D-0C8D3B82D915}" name="Category" dataDxfId="674"/>
    <tableColumn id="6" xr3:uid="{013FBEC7-603C-4974-BA99-D3A4AE0D1534}" name="All" dataDxfId="673"/>
    <tableColumn id="7" xr3:uid="{B66CE9DF-3200-4E69-9C43-D70A764400CB}" name="CT1" dataDxfId="672"/>
    <tableColumn id="8" xr3:uid="{14561E4C-277F-4AA1-878C-2FC492160EEB}" name="CT2" dataDxfId="671"/>
    <tableColumn id="9" xr3:uid="{34E8ED28-E843-4DF1-BACD-CFB6D343EA2B}" name="CT3" dataDxfId="670"/>
    <tableColumn id="10" xr3:uid="{F7B371B4-E90A-4F80-9063-D28827669137}" name="ST1" dataDxfId="669"/>
    <tableColumn id="11" xr3:uid="{8E2E64AD-9F0C-4783-9378-A8FF7FA6E4F1}" name="ST2" dataDxfId="668"/>
    <tableColumn id="12" xr3:uid="{DF55B3B3-CB2D-4B91-9A0D-565077B6A0F8}" name="ST3" dataDxfId="667"/>
    <tableColumn id="13" xr3:uid="{530B3DF5-1A9E-4CBA-87E2-1D2E03A487D2}" name="ST4" dataDxfId="666"/>
    <tableColumn id="14" xr3:uid="{BEA659DA-FA92-4B35-96E2-6F6B09435BCA}" name="ST5" dataDxfId="665"/>
    <tableColumn id="15" xr3:uid="{C40C230B-3E4F-41AB-BADC-BA9BD809BEC4}" name="ST6" dataDxfId="664"/>
    <tableColumn id="16" xr3:uid="{DDC73260-CCF4-4F8E-9AD0-F1A6F93C3A53}" name="ST7" dataDxfId="663"/>
    <tableColumn id="17" xr3:uid="{2ECBEC61-1C04-40DF-B4ED-A02CDB18B994}" name="ST8" dataDxfId="662"/>
    <tableColumn id="18" xr3:uid="{6CF1C87B-9719-4334-90C1-BB7BDA70879F}" name="Comments" dataDxfId="661"/>
  </tableColumns>
  <tableStyleInfo name="TableStyleLight16"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6036E416-6E85-4FB1-BF5A-00E8B319723E}" name="Table72" displayName="Table72" ref="A99:R114" insertRowShift="1" totalsRowShown="0" headerRowDxfId="660" dataDxfId="659">
  <autoFilter ref="A99:R114" xr:uid="{3EE0E5AC-3DF2-4C2A-AB59-4B7DF1EAF7E8}"/>
  <tableColumns count="18">
    <tableColumn id="1" xr3:uid="{CC573BA4-CF3C-4B54-B06E-4BF0A9CF3FAB}" name="Course Number" dataDxfId="658">
      <calculatedColumnFormula>"PATH"&amp;TEXT(Table72[[#This Row],[Count]],"000")&amp;"."&amp;IF(Table72[[#This Row],[Category]]="Cat 1","1",IF(Table72[[#This Row],[Category]]="Cat 2","2",IF(Table72[[#This Row],[Category]]="Cat 3","3","O")))</calculatedColumnFormula>
    </tableColumn>
    <tableColumn id="2" xr3:uid="{F85564BC-DD5C-42D8-B88C-34682D27652F}" name="Count" dataDxfId="657">
      <calculatedColumnFormula>MAX(Table71[Count])+ROWS(INDEX(Table72[Count],1):Table72[[#This Row],[Count]])</calculatedColumnFormula>
    </tableColumn>
    <tableColumn id="3" xr3:uid="{F41553E9-E07A-4C00-8134-2F406F1F7908}" name="Specialty / Programme" dataDxfId="656"/>
    <tableColumn id="4" xr3:uid="{968B331B-9461-4BFA-AE6F-105DC501350E}" name="Event/Course Title" dataDxfId="655"/>
    <tableColumn id="5" xr3:uid="{ADF53D32-2A18-44ED-9FBE-380A75EED259}" name="Category" dataDxfId="654"/>
    <tableColumn id="6" xr3:uid="{7637E82F-537E-4432-B947-83649A66E3A4}" name="All" dataDxfId="653"/>
    <tableColumn id="7" xr3:uid="{2FD37EAE-AD70-4B1E-9F8A-F0C000A2ACB5}" name="CT1" dataDxfId="652"/>
    <tableColumn id="8" xr3:uid="{2F51E553-9C53-4F76-A4AB-2DA7C1307994}" name="CT2" dataDxfId="651"/>
    <tableColumn id="9" xr3:uid="{24F952F6-C60B-4096-95EC-0B0D300AFF82}" name="CT3" dataDxfId="650"/>
    <tableColumn id="10" xr3:uid="{CAA2AD1F-1235-43CC-8712-D67829DAB7A7}" name="ST1" dataDxfId="649"/>
    <tableColumn id="11" xr3:uid="{81815DB2-DA0A-48BE-84A4-FC5F7C76A898}" name="ST2" dataDxfId="648"/>
    <tableColumn id="12" xr3:uid="{CD481FD1-7DC1-4F9F-8DB8-41316D01698F}" name="ST3" dataDxfId="647"/>
    <tableColumn id="13" xr3:uid="{4F5A9BC5-DE5E-4D42-A120-F400BC4F4E47}" name="ST4" dataDxfId="646"/>
    <tableColumn id="14" xr3:uid="{E4B5DF93-D9A1-4246-94AF-9393D9A25FF7}" name="ST5" dataDxfId="645"/>
    <tableColumn id="15" xr3:uid="{4B7340E1-0997-41E3-9A94-DEAF9CE516D2}" name="ST6" dataDxfId="644"/>
    <tableColumn id="16" xr3:uid="{78B5D36C-CD98-49ED-A101-2C1D2E99D3B3}" name="ST7" dataDxfId="643"/>
    <tableColumn id="17" xr3:uid="{D78E8CD9-8541-463E-9398-C1F9FFA6B3DE}" name="ST8" dataDxfId="642"/>
    <tableColumn id="18" xr3:uid="{BA7A1AF4-E673-4DDD-B36E-5436FFC433A0}" name="Comments" dataDxfId="641"/>
  </tableColumns>
  <tableStyleInfo name="TableStyleLight16"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E38CA97B-7C95-4E96-ADCF-CEB41D4F51E3}" name="Table73" displayName="Table73" ref="A118:R119" insertRowShift="1" totalsRowShown="0" headerRowDxfId="640" dataDxfId="639">
  <autoFilter ref="A118:R119" xr:uid="{CB3E9978-A605-4661-A088-2D5A2026ED61}"/>
  <tableColumns count="18">
    <tableColumn id="1" xr3:uid="{EEBD6AD2-0D86-47F1-AF20-302430F66400}" name="Course Number" dataDxfId="638"/>
    <tableColumn id="2" xr3:uid="{B411EE03-1ED6-46E7-B57A-A996F777C3EB}" name="Count" dataDxfId="637">
      <calculatedColumnFormula>MAX(Table72[Count])+ROWS(INDEX(Table73[Count],1):Table73[[#This Row],[Count]])</calculatedColumnFormula>
    </tableColumn>
    <tableColumn id="3" xr3:uid="{FDF9C7FB-D59B-4A6F-B7AA-F42CBB6BD0BE}" name="Specialty / Programme" dataDxfId="636"/>
    <tableColumn id="4" xr3:uid="{87D97B08-8977-42D5-9845-1FC036F672C9}" name="Event/Course Title" dataDxfId="635"/>
    <tableColumn id="5" xr3:uid="{EA0C8F96-7334-4A32-9941-D676A0C074E4}" name="Category" dataDxfId="634"/>
    <tableColumn id="6" xr3:uid="{B060E037-921D-4B6B-8A14-A52093BE2B77}" name="All" dataDxfId="633"/>
    <tableColumn id="7" xr3:uid="{47F41694-E40F-490E-A7CD-895C1995245C}" name="CT1" dataDxfId="632"/>
    <tableColumn id="8" xr3:uid="{60B95DE5-8C84-4821-8E3B-E3026C143CCB}" name="CT2" dataDxfId="631"/>
    <tableColumn id="9" xr3:uid="{387ECF74-3A24-432C-8270-9FB3121DE7BB}" name="CT3" dataDxfId="630"/>
    <tableColumn id="10" xr3:uid="{792226EE-5194-4E1E-95E0-BDD99C36CDA7}" name="ST1" dataDxfId="629"/>
    <tableColumn id="11" xr3:uid="{9AA29D3C-0F73-4D9A-9A72-2A1237AFDA3E}" name="ST2" dataDxfId="628"/>
    <tableColumn id="12" xr3:uid="{C245BE19-15A1-4AF0-9A68-822E0F7AB3B0}" name="ST3" dataDxfId="627"/>
    <tableColumn id="13" xr3:uid="{A60F7BFE-8878-4B0B-B36C-759E9C644ABF}" name="ST4" dataDxfId="626"/>
    <tableColumn id="14" xr3:uid="{152048F2-8C56-40B4-92FB-0E75C0454E0E}" name="ST5" dataDxfId="625"/>
    <tableColumn id="15" xr3:uid="{FD1A5139-F85F-4975-83B7-1599691F659E}" name="ST6" dataDxfId="624"/>
    <tableColumn id="16" xr3:uid="{7E959CF5-67F2-4B22-8ADA-D5465C76D95E}" name="ST7" dataDxfId="623"/>
    <tableColumn id="17" xr3:uid="{5BB87836-9DB6-444F-B5B2-845D76ECF838}" name="ST8" dataDxfId="622"/>
    <tableColumn id="18" xr3:uid="{2EC19AC7-3278-4E90-B3D2-74AC18F5D65C}" name="Comments" dataDxfId="621"/>
  </tableColumns>
  <tableStyleInfo name="TableStyleLight16"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9B99AA44-C79F-4A13-907B-C23AF9D9C8AF}" name="Table74" displayName="Table74" ref="A5:R23" totalsRowShown="0" headerRowDxfId="620" tableBorderDxfId="619">
  <autoFilter ref="A5:R23" xr:uid="{C1DC213D-E22E-41C4-AAD1-1E326EB8938D}"/>
  <sortState xmlns:xlrd2="http://schemas.microsoft.com/office/spreadsheetml/2017/richdata2" ref="A6:R9">
    <sortCondition ref="D5:D9"/>
  </sortState>
  <tableColumns count="18">
    <tableColumn id="1" xr3:uid="{82A4E356-6424-4FE3-A357-77495FF74D25}" name="Course Number" dataDxfId="618">
      <calculatedColumnFormula>"PC"&amp;TEXT(Table74[[#This Row],[Count]],"000")&amp;"."&amp;IF(Table74[[#This Row],[Category]]="Cat 1","1",IF(Table74[[#This Row],[Category]]="Cat 2","2",IF(Table74[[#This Row],[Category]]="Cat 3","3","O")))</calculatedColumnFormula>
    </tableColumn>
    <tableColumn id="2" xr3:uid="{28F071A7-98CB-4CFB-A8C6-A8F917E72EAE}" name="Count" dataDxfId="617">
      <calculatedColumnFormula>ROW()-ROW(Table74[[#Headers],[Count]])</calculatedColumnFormula>
    </tableColumn>
    <tableColumn id="18" xr3:uid="{9E1F5942-91AC-4B73-A81E-21763BE98A7A}" name="Specialty / Programme" dataDxfId="616"/>
    <tableColumn id="3" xr3:uid="{649FC7E7-9CB2-4CE7-BC58-3FF836B62015}" name="Event/Course Title" dataDxfId="615"/>
    <tableColumn id="4" xr3:uid="{D6A3F41B-4BAF-4ED2-B689-8F7038443257}" name="Category" dataDxfId="614"/>
    <tableColumn id="5" xr3:uid="{6661C703-E4E6-42FC-ABC5-72FE8CC51E46}" name="All" dataDxfId="613"/>
    <tableColumn id="6" xr3:uid="{C7F0F94E-E751-46B8-ADBE-7804FF33FF55}" name="CT1" dataDxfId="612"/>
    <tableColumn id="7" xr3:uid="{EC5FD3ED-6624-4348-B97F-D7227A33ACEA}" name="CT2" dataDxfId="611"/>
    <tableColumn id="8" xr3:uid="{7B276427-80E1-4117-8D69-967EEDD6CF17}" name="CT3" dataDxfId="610"/>
    <tableColumn id="9" xr3:uid="{DB2ED2FD-D40C-40C9-8DC3-D60055738476}" name="ST1" dataDxfId="609"/>
    <tableColumn id="10" xr3:uid="{EE5B2CB5-EF87-42F2-81BD-9A2D40863748}" name="ST2" dataDxfId="608"/>
    <tableColumn id="11" xr3:uid="{3FF9C02C-BB25-4816-BAD4-1EB66772C340}" name="ST3" dataDxfId="607"/>
    <tableColumn id="12" xr3:uid="{9615DD03-71B7-4603-99A1-33622FBB727E}" name="ST4" dataDxfId="606"/>
    <tableColumn id="13" xr3:uid="{5C845A91-B902-4930-B0C3-D7297270502A}" name="ST5" dataDxfId="605"/>
    <tableColumn id="14" xr3:uid="{11B1CE5A-B9F5-44FB-8A6F-1F36746A399D}" name="ST6" dataDxfId="604"/>
    <tableColumn id="15" xr3:uid="{28DCCABB-8757-4E06-B27A-CAC9B225096F}" name="ST7" dataDxfId="603"/>
    <tableColumn id="16" xr3:uid="{7BF8F46C-3FBC-4F43-9B96-C7015EC583A4}" name="ST8" dataDxfId="602"/>
    <tableColumn id="17" xr3:uid="{6D03DDB6-0B97-4CE1-856D-6F52E9C1125E}" name="Comments" dataDxfId="601"/>
  </tableColumns>
  <tableStyleInfo name="TableStyleLight16"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B00B0EB2-50C4-4B20-8845-F28EEAB28282}" name="Table75" displayName="Table75" ref="A5:R17" totalsRowShown="0" headerRowDxfId="600" tableBorderDxfId="599">
  <autoFilter ref="A5:R17" xr:uid="{C1DC213D-E22E-41C4-AAD1-1E326EB8938D}"/>
  <sortState xmlns:xlrd2="http://schemas.microsoft.com/office/spreadsheetml/2017/richdata2" ref="A6:R9">
    <sortCondition ref="D5:D9"/>
  </sortState>
  <tableColumns count="18">
    <tableColumn id="1" xr3:uid="{0BDFB3A4-0152-494B-865C-C93850816164}" name="Course Number" dataDxfId="598">
      <calculatedColumnFormula>"PSYCH"&amp;TEXT(Table75[[#This Row],[Count]],"000")&amp;"."&amp;IF(Table75[[#This Row],[Category]]="Cat 1","1",IF(Table75[[#This Row],[Category]]="Cat 2","2",IF(Table75[[#This Row],[Category]]="Cat 3","3","O")))</calculatedColumnFormula>
    </tableColumn>
    <tableColumn id="2" xr3:uid="{0D0751AC-8DCC-44A2-AB81-5E82B0F0CC90}" name="Count" dataDxfId="597">
      <calculatedColumnFormula>ROW()-ROW(Table75[[#Headers],[Count]])</calculatedColumnFormula>
    </tableColumn>
    <tableColumn id="18" xr3:uid="{92723517-D62A-4901-A5D8-14B4033AACF5}" name="Specialty / Programme" dataDxfId="596"/>
    <tableColumn id="3" xr3:uid="{E9B9CB54-7B54-4544-9575-F8522D2E2459}" name="Event/Course Title" dataDxfId="595"/>
    <tableColumn id="4" xr3:uid="{4C7F5D73-7F6D-4C5F-AD00-F14B7EEEAABA}" name="Category" dataDxfId="594"/>
    <tableColumn id="5" xr3:uid="{B0B62B09-6B53-402A-920A-E01F1559BBDC}" name="All" dataDxfId="593"/>
    <tableColumn id="6" xr3:uid="{3CBFEC0C-28C7-4685-9640-724E0040F38B}" name="CT1" dataDxfId="592"/>
    <tableColumn id="7" xr3:uid="{022B409B-2788-49F2-8EAA-DD1B7DB57C23}" name="CT2" dataDxfId="591"/>
    <tableColumn id="8" xr3:uid="{9344CDF9-A83C-4E07-A518-98A99C977C82}" name="CT3" dataDxfId="590"/>
    <tableColumn id="9" xr3:uid="{67449628-4AF8-49AE-8A78-BDB7B9EE617F}" name="ST1" dataDxfId="589"/>
    <tableColumn id="10" xr3:uid="{2D279DDB-F53D-4639-97AE-22B6A3FA91A8}" name="ST2" dataDxfId="588"/>
    <tableColumn id="11" xr3:uid="{10630594-5DAD-4FBE-A53C-D0111ECE4577}" name="ST3" dataDxfId="587"/>
    <tableColumn id="12" xr3:uid="{CABBB391-FFD0-40C3-8FAB-1CD031C86DC3}" name="ST4" dataDxfId="586"/>
    <tableColumn id="13" xr3:uid="{4EFD4091-46CF-47A3-B58D-ACD8F23E1F85}" name="ST5" dataDxfId="585"/>
    <tableColumn id="14" xr3:uid="{C0993A26-B268-45BA-B366-88B81810FB8E}" name="ST6" dataDxfId="584"/>
    <tableColumn id="15" xr3:uid="{AB2115B5-0C8C-4500-B96C-A93F55B637C1}" name="ST7" dataDxfId="583"/>
    <tableColumn id="16" xr3:uid="{9D88099B-C1C0-4CC2-9BC3-39FC2AD937F4}" name="ST8" dataDxfId="582"/>
    <tableColumn id="17" xr3:uid="{D12DEDDE-48CB-4628-9B8D-F12F2D1ADCDC}" name="Comments" dataDxfId="581"/>
  </tableColumns>
  <tableStyleInfo name="TableStyleLight16"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8511E10E-73E3-4585-AB35-F6B36C4FE1C6}" name="Table76" displayName="Table76" ref="A21:R26" totalsRowShown="0" headerRowDxfId="580" dataDxfId="579">
  <autoFilter ref="A21:R26" xr:uid="{2B8F4669-61B9-479B-8403-96F1BCF220F5}"/>
  <sortState xmlns:xlrd2="http://schemas.microsoft.com/office/spreadsheetml/2017/richdata2" ref="A22:R22">
    <sortCondition ref="D21:D22"/>
  </sortState>
  <tableColumns count="18">
    <tableColumn id="1" xr3:uid="{1656B839-DD2F-47A2-9AF7-AA1FAF2C9159}" name="Course Number" dataDxfId="578">
      <calculatedColumnFormula>"PSYCH"&amp;TEXT(Table76[[#This Row],[Count]],"000")&amp;"."&amp;IF(Table76[[#This Row],[Category]]="Cat 1","1",IF(Table76[[#This Row],[Category]]="Cat 2","2",IF(Table76[[#This Row],[Category]]="Cat 3","3","O")))</calculatedColumnFormula>
    </tableColumn>
    <tableColumn id="2" xr3:uid="{CB27A99C-A16B-4724-9D9E-3C3491B48851}" name="Count" dataDxfId="577">
      <calculatedColumnFormula>MAX(Table75[Count])+ROWS(INDEX(Table76[Count],1):Table76[[#This Row],[Count]])</calculatedColumnFormula>
    </tableColumn>
    <tableColumn id="18" xr3:uid="{06DB094B-1D98-451A-9189-77456321CA8C}" name="Specialty / Programme" dataDxfId="576"/>
    <tableColumn id="3" xr3:uid="{35D0C644-8755-4F77-8115-6BE0AB373527}" name="Event/Course Title" dataDxfId="575"/>
    <tableColumn id="4" xr3:uid="{A68E717D-8375-444A-BD43-D51FE13A7BD8}" name="Category" dataDxfId="574"/>
    <tableColumn id="5" xr3:uid="{A06E69FA-6D87-43B1-A2BE-E0C519D1255D}" name="All" dataDxfId="573"/>
    <tableColumn id="6" xr3:uid="{D4721C06-7807-44BF-B4AC-0C1712A33263}" name="CT1" dataDxfId="572"/>
    <tableColumn id="7" xr3:uid="{015490D6-C83B-470F-9318-7FBAAD13F654}" name="CT2" dataDxfId="571"/>
    <tableColumn id="8" xr3:uid="{0111B997-33E7-4EFA-8D58-7F9D32D97109}" name="CT3" dataDxfId="570"/>
    <tableColumn id="9" xr3:uid="{7FF96BB7-0AB4-4963-AEE2-DC7A0FAE6F86}" name="ST1" dataDxfId="569"/>
    <tableColumn id="10" xr3:uid="{9C7A6234-A6E6-4B09-AC39-BF8105B719B1}" name="ST2" dataDxfId="568"/>
    <tableColumn id="11" xr3:uid="{85DCD764-CF34-421C-9756-D375227E5EF9}" name="ST3" dataDxfId="567"/>
    <tableColumn id="12" xr3:uid="{1ADF135C-630B-4388-AA4B-69D1282C51F7}" name="ST4" dataDxfId="566"/>
    <tableColumn id="13" xr3:uid="{08265BF2-6214-432C-A5D3-3052133B695F}" name="ST5" dataDxfId="565"/>
    <tableColumn id="14" xr3:uid="{0FB11D0B-A1E1-408F-9747-FA345665FDB3}" name="ST6" dataDxfId="564"/>
    <tableColumn id="15" xr3:uid="{C6C1233B-4AFC-4458-B644-6D77DA46C7D8}" name="ST7" dataDxfId="563"/>
    <tableColumn id="16" xr3:uid="{D02F7D8B-2496-404C-B122-0E6AD1EA1146}" name="ST8" dataDxfId="562"/>
    <tableColumn id="17" xr3:uid="{ED0EC85A-9867-47A1-9C90-59AF0B0733E0}" name="Comments" dataDxfId="561"/>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9B8806-F57B-47F1-8B1E-46BB560DF51F}" name="Table7" displayName="Table7" ref="A5:R29" totalsRowShown="0" headerRowDxfId="1967" tableBorderDxfId="1966">
  <autoFilter ref="A5:R29" xr:uid="{C1DC213D-E22E-41C4-AAD1-1E326EB8938D}"/>
  <sortState xmlns:xlrd2="http://schemas.microsoft.com/office/spreadsheetml/2017/richdata2" ref="A6:R9">
    <sortCondition ref="D5:D9"/>
  </sortState>
  <tableColumns count="18">
    <tableColumn id="1" xr3:uid="{D12D3F0A-C699-41CE-8B16-08AF9328F628}" name="Course Number" dataDxfId="1965">
      <calculatedColumnFormula>"CSRH"&amp;TEXT(Table7[[#This Row],[Count]],"000")&amp;"."&amp;IF(E7="Essential","E",IF(E7="Discretionary","D","O"))</calculatedColumnFormula>
    </tableColumn>
    <tableColumn id="2" xr3:uid="{50657488-8BBC-4704-9DE1-695EBA647A3D}" name="Count" dataDxfId="1964">
      <calculatedColumnFormula>ROW()-ROW([1]!Table7[[#Headers],[Count]])</calculatedColumnFormula>
    </tableColumn>
    <tableColumn id="18" xr3:uid="{4E1627ED-B6D3-4447-8AA6-3E9E92B95AE6}" name="Specialty / Programme" dataDxfId="1963"/>
    <tableColumn id="3" xr3:uid="{64E7276D-CF66-4FAB-869F-FECFD153A57D}" name="Event/Course Title" dataDxfId="1962"/>
    <tableColumn id="4" xr3:uid="{4930E382-E503-4C73-96E5-F8016545D018}" name="Category" dataDxfId="1961"/>
    <tableColumn id="5" xr3:uid="{40B48788-28CA-47F9-9E4C-5456028404D4}" name="All" dataDxfId="1960"/>
    <tableColumn id="6" xr3:uid="{47F5E571-5EB1-4632-9E72-599A6B392D22}" name="CT1" dataDxfId="1959"/>
    <tableColumn id="7" xr3:uid="{006413A2-B405-4C8C-8D94-57D7FFAB4985}" name="CT2" dataDxfId="1958"/>
    <tableColumn id="8" xr3:uid="{B6E838B3-476C-4C42-A089-A5366B955934}" name="CT3" dataDxfId="1957"/>
    <tableColumn id="9" xr3:uid="{00E94A2B-4EE0-4ED4-8514-0E8412875568}" name="ST1" dataDxfId="1956"/>
    <tableColumn id="10" xr3:uid="{11B8C7D1-6CB8-496C-92DC-00A007AA9B04}" name="ST2" dataDxfId="1955"/>
    <tableColumn id="11" xr3:uid="{8FF69434-730E-4181-979D-FCE41C86B8F3}" name="ST3" dataDxfId="1954"/>
    <tableColumn id="12" xr3:uid="{CC547005-6DEB-4D1E-A107-798FA053E583}" name="ST4" dataDxfId="1953"/>
    <tableColumn id="13" xr3:uid="{6D7EDE96-7B32-4B75-B3BA-3276C98BB6D9}" name="ST5" dataDxfId="1952"/>
    <tableColumn id="14" xr3:uid="{1724F945-92F7-480C-973F-4901574EDA7E}" name="ST6" dataDxfId="1951"/>
    <tableColumn id="15" xr3:uid="{2F8BDD75-B3A0-4E72-B3A1-68B62EF35661}" name="ST7" dataDxfId="1950"/>
    <tableColumn id="16" xr3:uid="{BCDAADEA-722C-4FBF-B45C-85BD9965B6B6}" name="ST8" dataDxfId="1949"/>
    <tableColumn id="17" xr3:uid="{6FA98BB2-35B6-4737-82B7-1FFC7070AF78}" name="Comments" dataDxfId="1948"/>
  </tableColumns>
  <tableStyleInfo name="TableStyleLight16"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FEE00F9B-5E59-46C7-BB41-F8F35A12EA10}" name="Table77" displayName="Table77" ref="A30:R46" totalsRowShown="0" headerRowDxfId="560" dataDxfId="559">
  <autoFilter ref="A30:R46" xr:uid="{130C7BCC-2908-48DD-9F39-896AAB1B079D}"/>
  <sortState xmlns:xlrd2="http://schemas.microsoft.com/office/spreadsheetml/2017/richdata2" ref="A31:R39">
    <sortCondition ref="D30:D39"/>
  </sortState>
  <tableColumns count="18">
    <tableColumn id="1" xr3:uid="{C5702031-142F-4DEA-9174-7C65CCBC7275}" name="Course Number" dataDxfId="558">
      <calculatedColumnFormula>"PSYCH"&amp;TEXT(Table77[[#This Row],[Count]],"000")&amp;"."&amp;IF(Table77[[#This Row],[Category]]="Cat 1","1",IF(Table77[[#This Row],[Category]]="Cat 2","2",IF(Table77[[#This Row],[Category]]="Cat 3","3","O")))</calculatedColumnFormula>
    </tableColumn>
    <tableColumn id="2" xr3:uid="{EFBCDDB4-799A-4656-8045-E4FD4739A997}" name="Count" dataDxfId="557">
      <calculatedColumnFormula>MAX(Table76[Count])+ROWS(INDEX(Table77[Count],1):Table77[[#This Row],[Count]])</calculatedColumnFormula>
    </tableColumn>
    <tableColumn id="18" xr3:uid="{F031C279-BFCA-4556-B44F-D57A20130576}" name="Specialty / Programme" dataDxfId="556"/>
    <tableColumn id="3" xr3:uid="{40067770-7012-419B-BB8D-71AE4B376749}" name="Event/Course Title" dataDxfId="555"/>
    <tableColumn id="4" xr3:uid="{41238D68-E93D-45BD-96E3-33CEF0CBBC36}" name="Category" dataDxfId="554"/>
    <tableColumn id="5" xr3:uid="{C86658F1-4E60-4B5D-BD84-D9C0450602B7}" name="All" dataDxfId="553"/>
    <tableColumn id="6" xr3:uid="{E07BE4C5-CDEF-42ED-A590-56D6C62FEE4A}" name="CT1" dataDxfId="552"/>
    <tableColumn id="7" xr3:uid="{B0C587F2-90A1-4B32-BE6B-1AE94EA2500C}" name="CT2" dataDxfId="551"/>
    <tableColumn id="8" xr3:uid="{D15930D8-E7F5-4B7B-8DC6-77052802C397}" name="CT3" dataDxfId="550"/>
    <tableColumn id="9" xr3:uid="{31570757-D431-41CE-8BA7-28B5E483AED1}" name="ST1" dataDxfId="549"/>
    <tableColumn id="10" xr3:uid="{51E11532-6722-4DF6-9814-31D413D86189}" name="ST2" dataDxfId="548"/>
    <tableColumn id="11" xr3:uid="{91CB88C0-323E-4462-A5E0-7D204C5E4138}" name="ST3" dataDxfId="547"/>
    <tableColumn id="12" xr3:uid="{62C94B50-ADBB-425C-A4CD-49077F236AF0}" name="ST4" dataDxfId="546"/>
    <tableColumn id="13" xr3:uid="{537D484A-FE3B-4CE4-9984-5BAF06F8F40A}" name="ST5" dataDxfId="545"/>
    <tableColumn id="14" xr3:uid="{E1F5B62C-5108-4CF5-BDEA-F20A1E8EB11C}" name="ST6" dataDxfId="544"/>
    <tableColumn id="15" xr3:uid="{4D675C3D-7CA7-448A-AB92-75DDA382F512}" name="ST7" dataDxfId="543"/>
    <tableColumn id="16" xr3:uid="{48C7BE9F-73CC-473B-8B77-3EAF2C4DA195}" name="ST8" dataDxfId="542"/>
    <tableColumn id="17" xr3:uid="{21C00E9F-3E6B-4841-BC0F-93F7A6EEF6F0}" name="Comments" dataDxfId="541"/>
  </tableColumns>
  <tableStyleInfo name="TableStyleLight16"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70C969F8-CD81-43C1-8EBF-732D034E35CF}" name="Table78" displayName="Table78" ref="A50:R64" totalsRowShown="0" headerRowDxfId="540" dataDxfId="539">
  <autoFilter ref="A50:R64" xr:uid="{F24C6658-CB11-40B8-8945-AA9BB11A1DB6}"/>
  <sortState xmlns:xlrd2="http://schemas.microsoft.com/office/spreadsheetml/2017/richdata2" ref="A51:R51">
    <sortCondition ref="D50:D51"/>
  </sortState>
  <tableColumns count="18">
    <tableColumn id="1" xr3:uid="{91AF98C1-3A30-4924-BF6D-0C6C716EF1EC}" name="Course Number" dataDxfId="538">
      <calculatedColumnFormula>"PSYCH"&amp;TEXT(Table78[[#This Row],[Count]],"000")&amp;"."&amp;IF(Table78[[#This Row],[Category]]="Cat 1","1",IF(Table78[[#This Row],[Category]]="Cat 2","2",IF(Table78[[#This Row],[Category]]="Cat 3","3","O")))</calculatedColumnFormula>
    </tableColumn>
    <tableColumn id="2" xr3:uid="{86004E55-509B-41BC-AC64-CAFF83FA1CC1}" name="Count" dataDxfId="537">
      <calculatedColumnFormula>MAX(Table77[Count])+ROWS(INDEX(Table78[Count],1):Table78[[#This Row],[Count]])</calculatedColumnFormula>
    </tableColumn>
    <tableColumn id="18" xr3:uid="{E202FC52-565F-4F38-968A-63E8D7CA7F7C}" name="Specialty / Programme" dataDxfId="536"/>
    <tableColumn id="3" xr3:uid="{52A77256-D434-45B7-8641-B5074200FE0A}" name="Event/Course Title" dataDxfId="535"/>
    <tableColumn id="4" xr3:uid="{F0F8202F-9479-49D7-A919-A1253D5789A0}" name="Category" dataDxfId="534"/>
    <tableColumn id="5" xr3:uid="{39992036-4BF3-4458-B9E3-C2DEBCCB5968}" name="All" dataDxfId="533"/>
    <tableColumn id="6" xr3:uid="{0B227D2A-0C24-4102-A977-C6E7981E9287}" name="CT1" dataDxfId="532"/>
    <tableColumn id="7" xr3:uid="{4538A662-CABF-4FFA-B7E0-08A927DDAD8F}" name="CT2" dataDxfId="531"/>
    <tableColumn id="8" xr3:uid="{007715A8-364A-4709-A6EA-47FA3BB6CDAB}" name="CT3" dataDxfId="530"/>
    <tableColumn id="9" xr3:uid="{7B2099BB-721D-45B8-9152-4E48955D954A}" name="ST1" dataDxfId="529"/>
    <tableColumn id="10" xr3:uid="{4E84FF5B-E04A-48C1-8D31-5A4A176AEBEE}" name="ST2" dataDxfId="528"/>
    <tableColumn id="11" xr3:uid="{C91E5FF9-C94F-461C-B0E1-46BED570FF34}" name="ST3" dataDxfId="527"/>
    <tableColumn id="12" xr3:uid="{DC2CA6C0-E632-4B9A-AB13-FD0E6672A373}" name="ST4" dataDxfId="526"/>
    <tableColumn id="13" xr3:uid="{9394F195-24FB-4591-9270-D8B2D93CBAE1}" name="ST5" dataDxfId="525"/>
    <tableColumn id="14" xr3:uid="{DF0A684E-A00A-4ECF-A9AD-00E253D91193}" name="ST6" dataDxfId="524"/>
    <tableColumn id="15" xr3:uid="{ECC7C8CC-60CB-4EF4-AB40-897FF927960A}" name="ST7" dataDxfId="523"/>
    <tableColumn id="16" xr3:uid="{6D96ACF4-50A8-43AA-9E08-79EE54042CCF}" name="ST8" dataDxfId="522"/>
    <tableColumn id="17" xr3:uid="{0428EE9F-72FB-42FB-A7EF-683CA202B8EF}" name="Comments" dataDxfId="521"/>
  </tableColumns>
  <tableStyleInfo name="TableStyleLight16"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42A9978-2DEA-45C7-9516-5D355B701BC9}" name="Table79" displayName="Table79" ref="A68:R77" totalsRowShown="0" headerRowDxfId="520">
  <autoFilter ref="A68:R77" xr:uid="{89EA2D32-36E6-4F44-A054-FC6BE9D6DA75}"/>
  <sortState xmlns:xlrd2="http://schemas.microsoft.com/office/spreadsheetml/2017/richdata2" ref="A69:R73">
    <sortCondition ref="D68:D73"/>
  </sortState>
  <tableColumns count="18">
    <tableColumn id="1" xr3:uid="{E557BE20-F82F-4392-A84C-93C52ECC5E6A}" name="Course Number" dataDxfId="519">
      <calculatedColumnFormula>"PSYCH"&amp;TEXT(Table79[[#This Row],[Count]],"000")&amp;"."&amp;IF(Table79[[#This Row],[Category]]="Cat 1","1",IF(Table79[[#This Row],[Category]]="Cat 2","2",IF(Table79[[#This Row],[Category]]="Cat 3","3","O")))</calculatedColumnFormula>
    </tableColumn>
    <tableColumn id="2" xr3:uid="{B115D0D8-2D48-4A9F-9C4F-B0A3F6A9F749}" name="Count" dataDxfId="518">
      <calculatedColumnFormula>MAX(Table78[Count])+ROWS(INDEX(Table79[Count],1):Table79[[#This Row],[Count]])</calculatedColumnFormula>
    </tableColumn>
    <tableColumn id="3" xr3:uid="{F8D4244D-27D3-420C-AFE3-BCBDB98D41E8}" name="Specialty / Programme" dataDxfId="517"/>
    <tableColumn id="4" xr3:uid="{B4A82F20-2588-44C1-95C8-E20B386F8C1F}" name="Event/Course Title" dataDxfId="516"/>
    <tableColumn id="5" xr3:uid="{F6140F9B-EEB8-4C27-A08B-4E2B2B49F50D}" name="Category" dataDxfId="515"/>
    <tableColumn id="6" xr3:uid="{E39E9089-7D34-411D-A153-D89D809C6568}" name="All" dataDxfId="514"/>
    <tableColumn id="7" xr3:uid="{1FEEF3A4-E64B-4AD1-AB6B-098F301EEC13}" name="CT1" dataDxfId="513"/>
    <tableColumn id="8" xr3:uid="{8AC33B98-7324-4B7F-8EE4-5A8E0892D083}" name="CT2" dataDxfId="512"/>
    <tableColumn id="9" xr3:uid="{EE6DBA78-CC0C-4A85-BC84-A0907E882990}" name="CT3" dataDxfId="511"/>
    <tableColumn id="10" xr3:uid="{14763694-A632-4108-A359-917A4D1528EA}" name="ST1" dataDxfId="510"/>
    <tableColumn id="11" xr3:uid="{686E8B24-61B0-43A3-8B87-6F318868E8C2}" name="ST2" dataDxfId="509"/>
    <tableColumn id="12" xr3:uid="{091AC655-4F64-4A7D-94B8-EB7579886C42}" name="ST3" dataDxfId="508"/>
    <tableColumn id="13" xr3:uid="{1A8D9473-082C-457C-BB1B-B9022B9B2C27}" name="ST4" dataDxfId="507"/>
    <tableColumn id="14" xr3:uid="{6FCA0E62-AC42-4AAF-8B64-C82EA2BD4AB7}" name="ST5" dataDxfId="506"/>
    <tableColumn id="15" xr3:uid="{824F6665-615A-49E4-8ED0-E374AC7192E4}" name="ST6" dataDxfId="505"/>
    <tableColumn id="16" xr3:uid="{C218C519-E590-42C6-A0EC-AF0D769D511F}" name="ST7" dataDxfId="504"/>
    <tableColumn id="17" xr3:uid="{99032237-C58C-4F66-9109-B34FEFF4F2A9}" name="ST8" dataDxfId="503"/>
    <tableColumn id="18" xr3:uid="{6647E6A1-0DD1-4593-858D-07EEE44D8C62}" name="Comments" dataDxfId="502"/>
  </tableColumns>
  <tableStyleInfo name="TableStyleLight16"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1023A834-156C-4759-964D-5F9FDACBE605}" name="Table80" displayName="Table80" ref="A81:R97" insertRowShift="1" totalsRowShown="0" headerRowDxfId="501" dataDxfId="500">
  <autoFilter ref="A81:R97" xr:uid="{530FDD2E-BA7F-4819-89A9-711C9526F97D}"/>
  <tableColumns count="18">
    <tableColumn id="1" xr3:uid="{DA7ACCD8-84ED-441A-BA63-A261B7BB2C52}" name="Course Number" dataDxfId="499">
      <calculatedColumnFormula>"PSYCH"&amp;TEXT(Table80[[#This Row],[Count]],"000")&amp;"."&amp;IF(Table80[[#This Row],[Category]]="Cat 1","1",IF(Table80[[#This Row],[Category]]="Cat 2","2",IF(Table80[[#This Row],[Category]]="Cat 3","3","O")))</calculatedColumnFormula>
    </tableColumn>
    <tableColumn id="2" xr3:uid="{17DA198F-34B1-4EE0-A42A-98ECA7E8AAC1}" name="Count" dataDxfId="498">
      <calculatedColumnFormula>MAX(Table79[Count])+ROWS(INDEX(Table80[Count],1):Table80[[#This Row],[Count]])</calculatedColumnFormula>
    </tableColumn>
    <tableColumn id="3" xr3:uid="{B77F12C7-DB7B-4833-8596-6019142A8010}" name="Specialty / Programme" dataDxfId="497"/>
    <tableColumn id="4" xr3:uid="{C645FAD1-6D7D-4838-B164-65C952AB3A11}" name="Event/Course Title" dataDxfId="496"/>
    <tableColumn id="5" xr3:uid="{FBAA8741-8F61-49D9-9E7B-EAC2902B122E}" name="Category" dataDxfId="495"/>
    <tableColumn id="6" xr3:uid="{7713F655-D3C4-4B0C-99FA-2004EDF7264A}" name="All" dataDxfId="494"/>
    <tableColumn id="7" xr3:uid="{6FD8DF2A-76C3-437B-A68B-01C552C0AAB2}" name="CT1" dataDxfId="493"/>
    <tableColumn id="8" xr3:uid="{4EF4846B-FF94-4749-B24C-0D7F9BBAFCBA}" name="CT2" dataDxfId="492"/>
    <tableColumn id="9" xr3:uid="{5EC22520-E4D1-4151-AA9B-1FF401B09702}" name="CT3" dataDxfId="491"/>
    <tableColumn id="10" xr3:uid="{2E359A93-4EA4-45F3-AF71-5260C8E0038A}" name="ST1" dataDxfId="490"/>
    <tableColumn id="11" xr3:uid="{6F59392B-BE80-491A-85B2-959B3A791024}" name="ST2" dataDxfId="489"/>
    <tableColumn id="12" xr3:uid="{670AD62F-0C48-4F49-90DC-6FF4D2EFF77D}" name="ST3" dataDxfId="488"/>
    <tableColumn id="13" xr3:uid="{12E59D9F-72F1-4E85-9FEA-6107A1C40DC6}" name="ST4" dataDxfId="487"/>
    <tableColumn id="14" xr3:uid="{EF145138-2A71-4379-ADCB-81412DD93349}" name="ST5" dataDxfId="486"/>
    <tableColumn id="15" xr3:uid="{D5F01C36-D252-4FEE-97FA-D9AEEB59C7D6}" name="ST6" dataDxfId="485"/>
    <tableColumn id="16" xr3:uid="{ACE8FC17-5607-4E2D-82C8-B47EC231A264}" name="ST7" dataDxfId="484"/>
    <tableColumn id="17" xr3:uid="{1D48F2D6-E362-40A8-8392-51F928CED831}" name="ST8" dataDxfId="483"/>
    <tableColumn id="18" xr3:uid="{9F6BD210-7FD2-44B8-B4D5-A5C667D3EC0B}" name="Comments" dataDxfId="482"/>
  </tableColumns>
  <tableStyleInfo name="TableStyleLight16"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AB8C6740-6E01-40D6-9731-B147911B7832}" name="Table81" displayName="Table81" ref="A101:R116" insertRowShift="1" totalsRowShown="0" headerRowDxfId="481" dataDxfId="480">
  <autoFilter ref="A101:R116" xr:uid="{3EE0E5AC-3DF2-4C2A-AB59-4B7DF1EAF7E8}"/>
  <tableColumns count="18">
    <tableColumn id="1" xr3:uid="{EDDA6EDC-22B1-40F6-A2D1-7D31CFD6545F}" name="Course Number" dataDxfId="479">
      <calculatedColumnFormula>"PSYCH"&amp;TEXT(Table81[[#This Row],[Count]],"000")&amp;"."&amp;IF(Table81[[#This Row],[Category]]="Cat 1","1",IF(Table81[[#This Row],[Category]]="Cat 2","2",IF(Table81[[#This Row],[Category]]="Cat 3","3","O")))</calculatedColumnFormula>
    </tableColumn>
    <tableColumn id="2" xr3:uid="{1E4ECE06-33A0-47CB-A699-56E7F42B3162}" name="Count" dataDxfId="478">
      <calculatedColumnFormula>MAX(Table80[Count])+ROWS(INDEX(Table81[Count],1):Table81[[#This Row],[Count]])</calculatedColumnFormula>
    </tableColumn>
    <tableColumn id="3" xr3:uid="{721BE9BE-6967-4D66-95BB-617172E31FE9}" name="Specialty / Programme" dataDxfId="477"/>
    <tableColumn id="4" xr3:uid="{277E49A2-E25A-47C2-B268-3B75890FC61E}" name="Event/Course Title" dataDxfId="476"/>
    <tableColumn id="5" xr3:uid="{5230628C-0CE6-40E8-BE0E-CAB4E7DA3C16}" name="Category" dataDxfId="475"/>
    <tableColumn id="6" xr3:uid="{4FCCBC60-8226-4C68-A39A-735054E3250A}" name="All" dataDxfId="474"/>
    <tableColumn id="7" xr3:uid="{39B24C38-87B5-404F-90C6-4A51CE016169}" name="CT1" dataDxfId="473"/>
    <tableColumn id="8" xr3:uid="{86FEC698-C1AC-4982-91D1-C30B5D5E34D4}" name="CT2" dataDxfId="472"/>
    <tableColumn id="9" xr3:uid="{AFED6E13-3554-4DA3-AD3E-7F96CB14D7BC}" name="CT3" dataDxfId="471"/>
    <tableColumn id="10" xr3:uid="{86238B3C-3B77-4636-88F0-5717B23902EC}" name="ST1" dataDxfId="470"/>
    <tableColumn id="11" xr3:uid="{0ACAE264-76BE-4CAC-9645-2889A48C4C69}" name="ST2" dataDxfId="469"/>
    <tableColumn id="12" xr3:uid="{61D9C525-BD26-4146-9543-89CFB640E0B8}" name="ST3" dataDxfId="468"/>
    <tableColumn id="13" xr3:uid="{15613F5D-42E2-42BE-99B9-80B5C68D497C}" name="ST4" dataDxfId="467"/>
    <tableColumn id="14" xr3:uid="{FD611047-B929-470C-9CA4-2E58B34F977B}" name="ST5" dataDxfId="466"/>
    <tableColumn id="15" xr3:uid="{3E35858B-EE07-4A65-BA89-DBF161C25DB1}" name="ST6" dataDxfId="465"/>
    <tableColumn id="16" xr3:uid="{DF9E7937-DF4A-4E7D-A34A-1C8EE8CB830F}" name="ST7" dataDxfId="464"/>
    <tableColumn id="17" xr3:uid="{E9A058EF-0E63-4F1F-A351-C86FB4653D0D}" name="ST8" dataDxfId="463"/>
    <tableColumn id="18" xr3:uid="{0AFF5142-4FCE-478B-B4D3-A080C388DFD8}" name="Comments" dataDxfId="462"/>
  </tableColumns>
  <tableStyleInfo name="TableStyleLight16"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770C7ED-0A2D-42B0-9432-D797B0C022C6}" name="Table83" displayName="Table83" ref="A5:R25" totalsRowShown="0" headerRowDxfId="461" tableBorderDxfId="460">
  <autoFilter ref="A5:R25" xr:uid="{C1DC213D-E22E-41C4-AAD1-1E326EB8938D}"/>
  <sortState xmlns:xlrd2="http://schemas.microsoft.com/office/spreadsheetml/2017/richdata2" ref="A6:R9">
    <sortCondition ref="D5:D9"/>
  </sortState>
  <tableColumns count="18">
    <tableColumn id="1" xr3:uid="{C009FEED-21AA-4BAE-AF51-801E71096D1B}" name="Course Number" dataDxfId="459">
      <calculatedColumnFormula>"PSYCH"&amp;TEXT(Table83[[#This Row],[Count]],"000")&amp;"."&amp;IF(Table83[[#This Row],[Category]]="Cat 1","1",IF(Table83[[#This Row],[Category]]="Cat 2","2",IF(Table83[[#This Row],[Category]]="Cat 3","3","O")))</calculatedColumnFormula>
    </tableColumn>
    <tableColumn id="2" xr3:uid="{84D71116-8AEC-4FC1-AE50-8D07A3EFC190}" name="Count" dataDxfId="458">
      <calculatedColumnFormula>ROW()-ROW(Table83[[#Headers],[Count]])</calculatedColumnFormula>
    </tableColumn>
    <tableColumn id="18" xr3:uid="{E594C356-8D51-4503-9E74-B8C979EE6FB5}" name="Specialty / Programme" dataDxfId="457"/>
    <tableColumn id="3" xr3:uid="{4A6515A4-FB51-470B-90B3-95F2B5E31BBB}" name="Event/Course Title" dataDxfId="456"/>
    <tableColumn id="4" xr3:uid="{236EB39F-CC6A-4A50-B643-BA07EFF57916}" name="Category" dataDxfId="455"/>
    <tableColumn id="5" xr3:uid="{1AEAE68C-9247-45A4-B019-3FC40CFB8F50}" name="All" dataDxfId="454"/>
    <tableColumn id="6" xr3:uid="{DFC21F08-4DAF-43C0-8C2C-4C25D41F5E40}" name="CT1" dataDxfId="453"/>
    <tableColumn id="7" xr3:uid="{E7A1C3F3-70C9-4A07-8FB9-91DCFA2E02D0}" name="CT2" dataDxfId="452"/>
    <tableColumn id="8" xr3:uid="{354ADAD6-81EE-4364-807A-BAA4C6C2D223}" name="CT3" dataDxfId="451"/>
    <tableColumn id="9" xr3:uid="{F9994F71-10BA-4FEC-BD62-E745F58A6448}" name="ST1" dataDxfId="450"/>
    <tableColumn id="10" xr3:uid="{BAA27BA7-2474-41B2-A4A8-56949E4B30BA}" name="ST2" dataDxfId="449"/>
    <tableColumn id="11" xr3:uid="{008E381A-6C3F-4375-9B80-383F0EC1790D}" name="ST3" dataDxfId="448"/>
    <tableColumn id="12" xr3:uid="{5272F99F-B10E-4970-814C-143C81D13BF4}" name="ST4" dataDxfId="447"/>
    <tableColumn id="13" xr3:uid="{39DCF5FB-1FFB-43D0-8C74-8E8B8EA31D24}" name="ST5" dataDxfId="446"/>
    <tableColumn id="14" xr3:uid="{38949FF7-A602-49FC-8322-130AFE0FD5B1}" name="ST6" dataDxfId="445"/>
    <tableColumn id="15" xr3:uid="{D970B081-A285-4277-9019-A202681FF668}" name="ST7" dataDxfId="444"/>
    <tableColumn id="16" xr3:uid="{D9335A9A-46C6-4200-B6ED-A6460E577A77}" name="ST8" dataDxfId="443"/>
    <tableColumn id="17" xr3:uid="{3483B105-EB48-4CEF-9211-5B625D6CEA01}" name="Comments" dataDxfId="442"/>
  </tableColumns>
  <tableStyleInfo name="TableStyleLight16"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2495345-F151-4217-921E-064F9E51EA27}" name="Table84" displayName="Table84" ref="A29:R59" totalsRowShown="0" headerRowDxfId="441" dataDxfId="440">
  <autoFilter ref="A29:R59" xr:uid="{2B8F4669-61B9-479B-8403-96F1BCF220F5}"/>
  <sortState xmlns:xlrd2="http://schemas.microsoft.com/office/spreadsheetml/2017/richdata2" ref="A29:R30">
    <sortCondition ref="D29"/>
  </sortState>
  <tableColumns count="18">
    <tableColumn id="1" xr3:uid="{C32965EA-31C8-4E9E-AEEA-0AC36D290ECC}" name="Course Number" dataDxfId="439">
      <calculatedColumnFormula>"PSYCH"&amp;TEXT(Table84[[#This Row],[Count]],"000")&amp;"."&amp;IF(Table84[[#This Row],[Category]]="Cat 1","1",IF(Table84[[#This Row],[Category]]="Cat 2","2",IF(Table84[[#This Row],[Category]]="Cat 3","3","O")))</calculatedColumnFormula>
    </tableColumn>
    <tableColumn id="2" xr3:uid="{4BA7B81D-9183-427C-A69C-4F7020AB0782}" name="Count" dataDxfId="438">
      <calculatedColumnFormula>MAX(Table83[Count])+ROWS(INDEX(Table84[Count],1):Table84[[#This Row],[Count]])</calculatedColumnFormula>
    </tableColumn>
    <tableColumn id="18" xr3:uid="{52EE9882-B330-4B91-8B4A-32AC6CBE3CAB}" name="Specialty / Programme" dataDxfId="437"/>
    <tableColumn id="3" xr3:uid="{440914B2-281E-4CE0-9506-C1FC301E5F89}" name="Event/Course Title" dataDxfId="436"/>
    <tableColumn id="4" xr3:uid="{8179F1BD-5662-45D0-8D5D-8E361D35DEBA}" name="Category" dataDxfId="435"/>
    <tableColumn id="5" xr3:uid="{849EA050-300B-4F07-8FE2-6DFFF01493FB}" name="All" dataDxfId="434"/>
    <tableColumn id="6" xr3:uid="{C31BF9C7-7DD2-428F-A6F2-902E8948AF90}" name="CT1" dataDxfId="433"/>
    <tableColumn id="7" xr3:uid="{64E5D41A-61B1-4E77-AEB9-BC7245DF0368}" name="CT2" dataDxfId="432"/>
    <tableColumn id="8" xr3:uid="{D0FA868E-2187-42AB-B5A7-7F0BA8731337}" name="CT3" dataDxfId="431"/>
    <tableColumn id="9" xr3:uid="{8AE2773A-E23D-4751-865B-D7BE85E55EA1}" name="ST1" dataDxfId="430"/>
    <tableColumn id="10" xr3:uid="{B5B44B40-0CF2-4FEF-B483-1907DC6EA342}" name="ST2" dataDxfId="429"/>
    <tableColumn id="11" xr3:uid="{C07BE769-A330-4811-876E-3846FA12076E}" name="ST3" dataDxfId="428"/>
    <tableColumn id="12" xr3:uid="{A6EAA6FE-4211-4E5F-928F-98FC4BB5F8BA}" name="ST4" dataDxfId="427"/>
    <tableColumn id="13" xr3:uid="{821053F7-2675-4027-A6E0-BAE440300EB7}" name="ST5" dataDxfId="426"/>
    <tableColumn id="14" xr3:uid="{E06DB413-DBC4-4A49-B0D6-123E4C8BD5E0}" name="ST6" dataDxfId="425"/>
    <tableColumn id="15" xr3:uid="{EEE56A89-EDD7-4ADD-9899-EF08D0743B77}" name="ST7" dataDxfId="424"/>
    <tableColumn id="16" xr3:uid="{34B2FC39-045E-48D3-802E-368455EA3D1A}" name="ST8" dataDxfId="423"/>
    <tableColumn id="17" xr3:uid="{F95C3252-5530-4C53-8243-74F8B21DC1C3}" name="Comments" dataDxfId="422"/>
  </tableColumns>
  <tableStyleInfo name="TableStyleLight16"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FF09EEC-BF9E-4917-854A-A671D7B0D6D3}" name="Table85" displayName="Table85" ref="A63:R97" totalsRowShown="0" headerRowDxfId="421" dataDxfId="420">
  <autoFilter ref="A63:R97" xr:uid="{130C7BCC-2908-48DD-9F39-896AAB1B079D}"/>
  <sortState xmlns:xlrd2="http://schemas.microsoft.com/office/spreadsheetml/2017/richdata2" ref="A64:R73">
    <sortCondition ref="D63:D73"/>
  </sortState>
  <tableColumns count="18">
    <tableColumn id="1" xr3:uid="{DAB48F35-B8EF-4391-8ED9-3B4B8E8DBCB9}" name="Course Number" dataDxfId="419">
      <calculatedColumnFormula>"Psyc"&amp;TEXT(Table85[[#This Row],[Count]],"000")&amp;"."&amp;IF(Table85[[#This Row],[Category]]="Cat 1","1",IF(Table85[[#This Row],[Category]]="Cat 2","2",IF(Table85[[#This Row],[Category]]="Cat 3","3","O")))</calculatedColumnFormula>
    </tableColumn>
    <tableColumn id="2" xr3:uid="{FC7193D3-55BE-4FC6-87F8-97E6E32A15DB}" name="Count" dataDxfId="418">
      <calculatedColumnFormula>MAX(Table84[Count])+ROWS(INDEX(Table85[Count],1):Table85[[#This Row],[Count]])</calculatedColumnFormula>
    </tableColumn>
    <tableColumn id="18" xr3:uid="{71C42E5D-5A26-43B3-9819-22B43EB4103A}" name="Specialty / Programme" dataDxfId="417"/>
    <tableColumn id="3" xr3:uid="{74015099-A882-431A-AAAE-D1104C8D318D}" name="Event/Course Title" dataDxfId="416"/>
    <tableColumn id="4" xr3:uid="{E23451C2-3881-4DFC-B7D5-55EAA221BBFC}" name="Category" dataDxfId="415"/>
    <tableColumn id="5" xr3:uid="{60403F94-AE03-4116-B06E-646D15C2B64C}" name="All" dataDxfId="414"/>
    <tableColumn id="6" xr3:uid="{A125491E-B4FD-4CEA-986F-81719A04F28A}" name="CT1" dataDxfId="413"/>
    <tableColumn id="7" xr3:uid="{6D28CBDE-8893-47C4-B521-14A6F2B8F831}" name="CT2" dataDxfId="412"/>
    <tableColumn id="8" xr3:uid="{F301636E-29BC-4C17-9011-139F96356240}" name="CT3" dataDxfId="411"/>
    <tableColumn id="9" xr3:uid="{CCA03091-DCC2-498E-A56C-7E9B60E21462}" name="ST1" dataDxfId="410"/>
    <tableColumn id="10" xr3:uid="{1B5C1AEE-9851-4F96-8F45-5DDAB9DB7B5A}" name="ST2" dataDxfId="409"/>
    <tableColumn id="11" xr3:uid="{8168561F-397F-457C-AB6B-DF09DF4D35C2}" name="ST3" dataDxfId="408"/>
    <tableColumn id="12" xr3:uid="{B6998984-79E2-4D82-B7A9-8D489F1B2E37}" name="ST4" dataDxfId="407"/>
    <tableColumn id="13" xr3:uid="{AE5198B4-FA9C-4B53-9062-8374E65792D1}" name="ST5" dataDxfId="406"/>
    <tableColumn id="14" xr3:uid="{DC6CEE3E-E97F-4F3B-B8AE-FC1826ADA38B}" name="ST6" dataDxfId="405"/>
    <tableColumn id="15" xr3:uid="{4B12B79A-20FE-410E-B27F-3819A8BCD6F3}" name="ST7" dataDxfId="404"/>
    <tableColumn id="16" xr3:uid="{E130257E-C89E-44CC-8E7E-631DB53B9A53}" name="ST8" dataDxfId="403"/>
    <tableColumn id="17" xr3:uid="{CB607DFA-B7FB-4E2A-B6C0-08B6CC479E6F}" name="Comments" dataDxfId="402"/>
  </tableColumns>
  <tableStyleInfo name="TableStyleLight16"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C24EBA1-CFEB-4FB7-B3AE-0319578A2D07}" name="Table86" displayName="Table86" ref="A101:R111" totalsRowShown="0" headerRowDxfId="401" dataDxfId="400">
  <autoFilter ref="A101:R111" xr:uid="{F24C6658-CB11-40B8-8945-AA9BB11A1DB6}"/>
  <sortState xmlns:xlrd2="http://schemas.microsoft.com/office/spreadsheetml/2017/richdata2" ref="A102:R102">
    <sortCondition ref="D101:D102"/>
  </sortState>
  <tableColumns count="18">
    <tableColumn id="1" xr3:uid="{9FDF532C-2872-4DEE-8346-5FCAFC16383C}" name="Course Number" dataDxfId="399">
      <calculatedColumnFormula>"PAED"&amp;TEXT(Table86[[#This Row],[Count]],"000")&amp;"."&amp;IF(Table86[[#This Row],[Category]]="Cat 1","1",IF(Table86[[#This Row],[Category]]="Cat 2","2",IF(Table86[[#This Row],[Category]]="Cat 3","3","O")))</calculatedColumnFormula>
    </tableColumn>
    <tableColumn id="2" xr3:uid="{6D3BB45F-F7B4-4075-B67C-BA42C886CC18}" name="Count" dataDxfId="398">
      <calculatedColumnFormula>MAX(Table85[Count])+ROWS(INDEX(Table86[Count],1):Table86[[#This Row],[Count]])</calculatedColumnFormula>
    </tableColumn>
    <tableColumn id="18" xr3:uid="{3BF34CD0-37D1-4284-9EBB-2A8751599E8E}" name="Specialty / Programme" dataDxfId="397"/>
    <tableColumn id="3" xr3:uid="{ACEBB79A-98E0-4863-A5D6-3ADF56C15D07}" name="Event/Course Title" dataDxfId="396"/>
    <tableColumn id="4" xr3:uid="{D214DD91-3603-4C98-ACB0-9C5E64AE2241}" name="Category" dataDxfId="395"/>
    <tableColumn id="5" xr3:uid="{ABAA1EE0-33B0-49A2-8515-6709D6BFAA05}" name="All" dataDxfId="394"/>
    <tableColumn id="6" xr3:uid="{A33FA841-62C7-492C-9269-EF03C17014A7}" name="CT1" dataDxfId="393"/>
    <tableColumn id="7" xr3:uid="{35BCE675-0690-4F01-9C96-7A6814D495FC}" name="CT2" dataDxfId="392"/>
    <tableColumn id="8" xr3:uid="{04F08C4F-FC29-42F0-8608-2BAFFDAB3746}" name="CT3" dataDxfId="391"/>
    <tableColumn id="9" xr3:uid="{52CBE623-D83E-4186-8B17-19088F61EDAA}" name="ST1" dataDxfId="390"/>
    <tableColumn id="10" xr3:uid="{B516A340-5F38-4851-B238-1F6A2C621A62}" name="ST2" dataDxfId="389"/>
    <tableColumn id="11" xr3:uid="{A4B0CD93-8A3E-4042-8FC1-66560C586080}" name="ST3" dataDxfId="388"/>
    <tableColumn id="12" xr3:uid="{02CD9786-4994-461A-95F9-905ED710B945}" name="ST4" dataDxfId="387"/>
    <tableColumn id="13" xr3:uid="{A91F536E-FE98-48D9-9955-F06978AC0670}" name="ST5" dataDxfId="386"/>
    <tableColumn id="14" xr3:uid="{E5257729-D4BD-4711-9C10-3E23AFC720C6}" name="ST6" dataDxfId="385"/>
    <tableColumn id="15" xr3:uid="{E512744C-61F1-4244-AF96-D8A68C9F1384}" name="ST7" dataDxfId="384"/>
    <tableColumn id="16" xr3:uid="{882CE86E-B87D-46A7-B1B5-DC0057B78E4A}" name="ST8" dataDxfId="383"/>
    <tableColumn id="17" xr3:uid="{04CC6690-4838-4732-A341-C1253841ABFF}" name="Comments" dataDxfId="382"/>
  </tableColumns>
  <tableStyleInfo name="TableStyleLight16"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B2F2ACC9-83B6-49ED-8A5C-1FA748B67472}" name="Table87" displayName="Table87" ref="A115:R137" totalsRowShown="0" headerRowDxfId="381">
  <autoFilter ref="A115:R137" xr:uid="{89EA2D32-36E6-4F44-A054-FC6BE9D6DA75}"/>
  <sortState xmlns:xlrd2="http://schemas.microsoft.com/office/spreadsheetml/2017/richdata2" ref="A116:R121">
    <sortCondition ref="D115:D121"/>
  </sortState>
  <tableColumns count="18">
    <tableColumn id="1" xr3:uid="{69095BE3-B478-4D14-AE6C-95F35C044EFC}" name="Course Number" dataDxfId="380">
      <calculatedColumnFormula>"PSYCH"&amp;TEXT(Table87[[#This Row],[Count]],"000")&amp;"."&amp;IF(Table87[[#This Row],[Category]]="Cat 1","1",IF(Table87[[#This Row],[Category]]="Cat 2","2",IF(Table87[[#This Row],[Category]]="Cat 3","3","O")))</calculatedColumnFormula>
    </tableColumn>
    <tableColumn id="2" xr3:uid="{06FF5B01-30BB-458E-9C2D-71BD5B25E45B}" name="Count" dataDxfId="379">
      <calculatedColumnFormula>MAX(Table86[Count])+ROWS(INDEX(Table87[Count],1):Table87[[#This Row],[Count]])</calculatedColumnFormula>
    </tableColumn>
    <tableColumn id="3" xr3:uid="{AEEEA3BB-6A18-4977-A42A-292A6B9874C3}" name="Specialty / Programme" dataDxfId="378"/>
    <tableColumn id="4" xr3:uid="{1D212EDE-5FDE-4F04-B1BF-DA3E673FCFAB}" name="Event/Course Title" dataDxfId="377"/>
    <tableColumn id="5" xr3:uid="{DA3AE713-6F3D-40F7-A8BC-2401864F8F1B}" name="Category" dataDxfId="376"/>
    <tableColumn id="6" xr3:uid="{978EF4A1-4A89-4F13-A058-18DACC024A17}" name="All" dataDxfId="375"/>
    <tableColumn id="7" xr3:uid="{8C310E81-D961-4908-8C87-98F74D381098}" name="CT1" dataDxfId="374"/>
    <tableColumn id="8" xr3:uid="{5B35A40E-CDFE-4081-A933-4C1A13E6EAF1}" name="CT2" dataDxfId="373"/>
    <tableColumn id="9" xr3:uid="{69A205C0-49B4-4D8B-B064-C85757E504B9}" name="CT3" dataDxfId="372"/>
    <tableColumn id="10" xr3:uid="{1618281E-345E-4F2E-98C8-8BC6F89E7111}" name="ST1" dataDxfId="371"/>
    <tableColumn id="11" xr3:uid="{467FAD4F-2DFE-4368-BCE8-A94CAB8B08D2}" name="ST2" dataDxfId="370"/>
    <tableColumn id="12" xr3:uid="{9436FBB6-4A93-4D99-9ED6-3780A29C2441}" name="ST3" dataDxfId="369"/>
    <tableColumn id="13" xr3:uid="{94F1413B-974D-4121-B9AA-B53D11C768B0}" name="ST4" dataDxfId="368"/>
    <tableColumn id="14" xr3:uid="{71BE6A4C-1DBD-4590-A394-0BF13B2B2931}" name="ST5" dataDxfId="367"/>
    <tableColumn id="15" xr3:uid="{004B7C7F-9802-4323-9439-7A7E43ADE0FD}" name="ST6" dataDxfId="366"/>
    <tableColumn id="16" xr3:uid="{80BB6D38-005B-4855-8283-30CC4B712342}" name="ST7" dataDxfId="365"/>
    <tableColumn id="17" xr3:uid="{9217DACD-27BF-4398-B3BA-95DC11683075}" name="ST8" dataDxfId="364"/>
    <tableColumn id="18" xr3:uid="{D1ED2D9D-C07D-4C5D-8A84-CF5913073236}" name="Comments" dataDxfId="363"/>
  </tableColumns>
  <tableStyleInfo name="TableStyleLight1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F643050-944F-40FB-BD02-B6BEEBB84508}" name="Table8" displayName="Table8" ref="A5:R21" totalsRowShown="0" headerRowDxfId="1947" tableBorderDxfId="1946">
  <autoFilter ref="A5:R21" xr:uid="{C1DC213D-E22E-41C4-AAD1-1E326EB8938D}"/>
  <sortState xmlns:xlrd2="http://schemas.microsoft.com/office/spreadsheetml/2017/richdata2" ref="A6:R19">
    <sortCondition ref="D5:D19"/>
  </sortState>
  <tableColumns count="18">
    <tableColumn id="1" xr3:uid="{94AFFC95-B6B9-45C1-A8D7-93C436E3C2EB}" name="Course Number" dataDxfId="1945">
      <calculatedColumnFormula>"EM"&amp;TEXT(Table8[[#This Row],[Count]],"000")&amp;"."&amp;IF(Table8[[#This Row],[Category]]="Essential","E",IF(Table8[[#This Row],[Category]]="Discretionary","D","O"))</calculatedColumnFormula>
    </tableColumn>
    <tableColumn id="2" xr3:uid="{C09F8DBF-2B6E-4D16-B17B-8B11D129B101}" name="Count" dataDxfId="1944">
      <calculatedColumnFormula>ROW()-ROW(Table8[[#Headers],[Count]])</calculatedColumnFormula>
    </tableColumn>
    <tableColumn id="18" xr3:uid="{CB4856A8-6F75-43BF-BA07-1DAD68F1950A}" name="Specialty / Programme" dataDxfId="1943"/>
    <tableColumn id="3" xr3:uid="{846D7BCB-BB7F-4A8F-B0D4-CD6E6F50760A}" name="Event/Course Title" dataDxfId="1942"/>
    <tableColumn id="4" xr3:uid="{2B0A0057-B58E-45AA-BF78-EFD4A48575A7}" name="Category" dataDxfId="1941"/>
    <tableColumn id="5" xr3:uid="{48960967-4D55-40F5-9963-77B82CD6BFC5}" name="All" dataDxfId="1940"/>
    <tableColumn id="6" xr3:uid="{42C94C3E-AD28-43C4-AAEF-A766AF107174}" name="CT1" dataDxfId="1939"/>
    <tableColumn id="7" xr3:uid="{95AD3087-1036-4FFF-AB5B-023801D9C1BA}" name="CT2" dataDxfId="1938"/>
    <tableColumn id="8" xr3:uid="{DAC52651-1678-4E6C-9D6A-1EBF657278EF}" name="CT3" dataDxfId="1937"/>
    <tableColumn id="9" xr3:uid="{59E8ECD3-2505-4FB4-9C8C-03242807DACA}" name="ST1" dataDxfId="1936"/>
    <tableColumn id="10" xr3:uid="{19464C00-6E47-4352-88EA-857D1F4E62A6}" name="ST2" dataDxfId="1935"/>
    <tableColumn id="11" xr3:uid="{4043CE21-B3D4-4EB0-9D74-2C5720065610}" name="ST3" dataDxfId="1934"/>
    <tableColumn id="12" xr3:uid="{1E2799EB-7EBA-4EEF-AFCB-3910853C6389}" name="ST4" dataDxfId="1933"/>
    <tableColumn id="13" xr3:uid="{1D6A900D-8BC7-4AC5-900E-39A46559D18A}" name="ST5" dataDxfId="1932"/>
    <tableColumn id="14" xr3:uid="{8B7A4B64-0A63-4B50-85A1-2977D7601E1A}" name="ST6" dataDxfId="1931"/>
    <tableColumn id="15" xr3:uid="{07DFD7D1-78AB-434E-BACE-B4843B495E03}" name="ST7" dataDxfId="1930"/>
    <tableColumn id="16" xr3:uid="{0FF877D6-E9DE-43B6-ABFB-D9F1BC48C437}" name="ST8" dataDxfId="1929"/>
    <tableColumn id="17" xr3:uid="{3901388E-9D22-46B3-9E7B-AB12327C6139}" name="Comments" dataDxfId="1928"/>
  </tableColumns>
  <tableStyleInfo name="TableStyleLight16"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2E01AAB-698C-470C-B72A-C49122DC5A29}" name="Table88" displayName="Table88" ref="A141:R163" insertRowShift="1" totalsRowShown="0" headerRowDxfId="362" dataDxfId="361">
  <autoFilter ref="A141:R163" xr:uid="{530FDD2E-BA7F-4819-89A9-711C9526F97D}"/>
  <tableColumns count="18">
    <tableColumn id="1" xr3:uid="{8CA89FC0-2DA8-40FF-AA81-84C3A7456C6D}" name="Course Number" dataDxfId="360">
      <calculatedColumnFormula>"PSYCH"&amp;TEXT(Table88[[#This Row],[Count]],"000")&amp;"."&amp;IF(Table88[[#This Row],[Category]]="Cat 1","1",IF(Table88[[#This Row],[Category]]="Cat 2","2",IF(Table88[[#This Row],[Category]]="Cat 3","3","O")))</calculatedColumnFormula>
    </tableColumn>
    <tableColumn id="2" xr3:uid="{28009E30-5595-4538-83FE-2477D5DE5C04}" name="Count" dataDxfId="359">
      <calculatedColumnFormula>MAX(Table87[Count])+ROWS(INDEX(Table88[Count],1):Table88[[#This Row],[Count]])</calculatedColumnFormula>
    </tableColumn>
    <tableColumn id="3" xr3:uid="{364D3631-706E-476F-81E8-B0947C4D61EB}" name="Specialty / Programme" dataDxfId="358"/>
    <tableColumn id="4" xr3:uid="{FF7D5517-17A9-4024-A0E7-7FB9EEECD978}" name="Event/Course Title" dataDxfId="357"/>
    <tableColumn id="5" xr3:uid="{C2B7C92A-ED9F-402E-8421-A0D7B9C5CF8A}" name="Category" dataDxfId="356"/>
    <tableColumn id="6" xr3:uid="{31480DB0-26F9-4498-9512-F3E0B61C0B1F}" name="All" dataDxfId="355"/>
    <tableColumn id="7" xr3:uid="{6C2E9686-A7EC-4330-8D56-D5B593B3B464}" name="CT1" dataDxfId="354"/>
    <tableColumn id="8" xr3:uid="{A4FB34D7-F6AC-463D-B35B-F9EAC753A3AE}" name="CT2" dataDxfId="353"/>
    <tableColumn id="9" xr3:uid="{32497A94-95F8-42DC-A435-D9FEAB395015}" name="CT3" dataDxfId="352"/>
    <tableColumn id="10" xr3:uid="{1DF1C596-E35E-4957-BBF1-B0DCCE2BEECE}" name="ST1" dataDxfId="351"/>
    <tableColumn id="11" xr3:uid="{9BBFBE19-439B-451B-A124-F39699F40B70}" name="ST2" dataDxfId="350"/>
    <tableColumn id="12" xr3:uid="{7BDFCA2B-9559-4667-B353-00B9222244FA}" name="ST3" dataDxfId="349"/>
    <tableColumn id="13" xr3:uid="{6E8897F0-C1E4-482A-840C-51BAC56F2E73}" name="ST4" dataDxfId="348"/>
    <tableColumn id="14" xr3:uid="{CC09DFED-8F3B-4EA2-A8B1-6AA4BA8A327F}" name="ST5" dataDxfId="347"/>
    <tableColumn id="15" xr3:uid="{712F8CD4-F02F-4FFD-8605-66AE06A9F51A}" name="ST6" dataDxfId="346"/>
    <tableColumn id="16" xr3:uid="{3997B160-C204-4B51-9FCD-EB1723E2267A}" name="ST7" dataDxfId="345"/>
    <tableColumn id="17" xr3:uid="{C3C93A31-60E8-42C8-80DD-B3854C15C738}" name="ST8" dataDxfId="344"/>
    <tableColumn id="18" xr3:uid="{95A1658C-D9D3-4768-B88D-9869CC09A7C2}" name="Comments" dataDxfId="343"/>
  </tableColumns>
  <tableStyleInfo name="TableStyleLight16"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9AFC6B09-FC8B-4557-9BBB-86965F92A0C9}" name="Table89" displayName="Table89" ref="A167:R179" insertRowShift="1" totalsRowShown="0" headerRowDxfId="342" dataDxfId="341">
  <autoFilter ref="A167:R179" xr:uid="{3EE0E5AC-3DF2-4C2A-AB59-4B7DF1EAF7E8}"/>
  <tableColumns count="18">
    <tableColumn id="1" xr3:uid="{F77DC41B-3897-4FD6-BAC2-4BA68D6FDC2B}" name="Course Number" dataDxfId="340">
      <calculatedColumnFormula>"PSYCH"&amp;TEXT(Table89[[#This Row],[Count]],"000")&amp;"."&amp;IF(Table89[[#This Row],[Category]]="Cat 1","1",IF(Table89[[#This Row],[Category]]="Cat 2","2",IF(Table89[[#This Row],[Category]]="Cat 3","3","O")))</calculatedColumnFormula>
    </tableColumn>
    <tableColumn id="2" xr3:uid="{D115C471-CAE2-43CF-AF36-D598D4771976}" name="Count" dataDxfId="339">
      <calculatedColumnFormula>MAX(Table88[Count])+ROWS(INDEX(Table89[Count],1):Table89[[#This Row],[Count]])</calculatedColumnFormula>
    </tableColumn>
    <tableColumn id="3" xr3:uid="{D4E864A0-2FF2-4163-9561-945E928D4F58}" name="Specialty / Programme" dataDxfId="338"/>
    <tableColumn id="4" xr3:uid="{2D58C946-4FF0-4FC2-8F91-C85AAE1ED22B}" name="Event/Course Title" dataDxfId="337"/>
    <tableColumn id="5" xr3:uid="{BA32EA71-27FD-4393-ABA6-15148D7BB103}" name="Category" dataDxfId="336"/>
    <tableColumn id="6" xr3:uid="{812BC986-0C94-4476-AC7B-8ACADDE1C7A4}" name="All" dataDxfId="335"/>
    <tableColumn id="7" xr3:uid="{78274BAE-25AD-4503-8F19-26A17F392CE8}" name="CT1" dataDxfId="334"/>
    <tableColumn id="8" xr3:uid="{5B2AA2F6-AFD4-4BFF-974D-263837484B48}" name="CT2" dataDxfId="333"/>
    <tableColumn id="9" xr3:uid="{3E070FBA-CEAD-4F61-902C-B17DE61C06CD}" name="CT3" dataDxfId="332"/>
    <tableColumn id="10" xr3:uid="{160970DC-D8CB-44D6-B731-8823CF326751}" name="ST1" dataDxfId="331"/>
    <tableColumn id="11" xr3:uid="{8114797E-82CD-433F-8652-417279D319DF}" name="ST2" dataDxfId="330"/>
    <tableColumn id="12" xr3:uid="{AEA826EE-4738-4496-8124-1FEC9586A2A4}" name="ST3" dataDxfId="329"/>
    <tableColumn id="13" xr3:uid="{5D9335BB-9BC9-421D-A4B1-7910583D9B2B}" name="ST4" dataDxfId="328"/>
    <tableColumn id="14" xr3:uid="{846C72F3-9C83-4BC5-B1DE-2C8692C67236}" name="ST5" dataDxfId="327"/>
    <tableColumn id="15" xr3:uid="{F540FC09-7F48-4E73-B7ED-FDEA6A6F1859}" name="ST6" dataDxfId="326"/>
    <tableColumn id="16" xr3:uid="{C09EAB90-277F-469F-B6E9-927CB02FAD3C}" name="ST7" dataDxfId="325"/>
    <tableColumn id="17" xr3:uid="{339C2B91-A6A0-45C8-A560-D58DE78104BF}" name="ST8" dataDxfId="324"/>
    <tableColumn id="18" xr3:uid="{5AD46349-BC91-4EB2-BEE1-37F4CF4257B0}" name="Comments" dataDxfId="323"/>
  </tableColumns>
  <tableStyleInfo name="TableStyleLight16"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7C163557-823B-4E4E-BAD2-4DE3B3D304CD}" name="Table90" displayName="Table90" ref="A183:R205" insertRowShift="1" totalsRowShown="0" headerRowDxfId="322" dataDxfId="321">
  <autoFilter ref="A183:R205" xr:uid="{7C163557-823B-4E4E-BAD2-4DE3B3D304CD}"/>
  <tableColumns count="18">
    <tableColumn id="1" xr3:uid="{3F6C80D5-8CA3-4A1B-BC2B-8BB2FE15C508}" name="Course Number" dataDxfId="320">
      <calculatedColumnFormula>"PSYCH"&amp;TEXT(Table90[[#This Row],[Count]],"000")&amp;"."&amp;IF(Table90[[#This Row],[Category]]="Cat 1","1",IF(Table90[[#This Row],[Category]]="Cat 2","2",IF(Table90[[#This Row],[Category]]="Cat 3","3","O")))</calculatedColumnFormula>
    </tableColumn>
    <tableColumn id="2" xr3:uid="{B76CD43F-3854-4E8B-93F4-6E025B378E94}" name="Count" dataDxfId="319">
      <calculatedColumnFormula>MAX(Table89[Count])+ROWS(INDEX(Table90[Count],1):Table90[[#This Row],[Count]])</calculatedColumnFormula>
    </tableColumn>
    <tableColumn id="3" xr3:uid="{07C10356-51E4-41E6-9827-949A110C2A4F}" name="Specialty / Programme" dataDxfId="318"/>
    <tableColumn id="4" xr3:uid="{9AF486DF-D2BB-476E-B075-D5318B68F518}" name="Event/Course Title" dataDxfId="317"/>
    <tableColumn id="5" xr3:uid="{EF257333-2F7D-4B0A-9455-4C693C207DF9}" name="Category" dataDxfId="316"/>
    <tableColumn id="6" xr3:uid="{5DE5611B-0B93-4280-BBF5-1CD90BB259B4}" name="All" dataDxfId="315"/>
    <tableColumn id="7" xr3:uid="{3B3483D1-632D-4027-B57D-4F7721683AB6}" name="CT1" dataDxfId="314"/>
    <tableColumn id="8" xr3:uid="{D8400DBE-BC6C-4755-9DAF-61588C839809}" name="CT2" dataDxfId="313"/>
    <tableColumn id="9" xr3:uid="{92094F45-6AA5-421B-AADE-ADC4EEFF0E73}" name="CT3" dataDxfId="312"/>
    <tableColumn id="10" xr3:uid="{9DDBD07E-1997-47A9-ABF5-6BC3F7530B3C}" name="ST1" dataDxfId="311"/>
    <tableColumn id="11" xr3:uid="{B2EBC320-E958-45A1-8094-EBFC3B96E1DB}" name="ST2" dataDxfId="310"/>
    <tableColumn id="12" xr3:uid="{734B2318-D274-4CE9-8913-C6C6CB949E98}" name="ST3" dataDxfId="309"/>
    <tableColumn id="13" xr3:uid="{53DC664F-9CF0-4581-8B90-2AC090F65804}" name="ST4" dataDxfId="308"/>
    <tableColumn id="14" xr3:uid="{89C8A6E5-BEF3-4308-8CC4-48129606F9B9}" name="ST5" dataDxfId="307"/>
    <tableColumn id="15" xr3:uid="{E927BEAE-DFCC-4F8C-B26A-69817BC453D2}" name="ST6" dataDxfId="306"/>
    <tableColumn id="16" xr3:uid="{7B4D0326-0B4D-4508-BD00-D18582C28613}" name="ST7" dataDxfId="305"/>
    <tableColumn id="17" xr3:uid="{8FEF4F74-A558-493F-BAA1-B2AC72601809}" name="ST8" dataDxfId="304"/>
    <tableColumn id="18" xr3:uid="{370CCDB5-2322-4614-A3D5-9BAFE7D7CFCB}" name="Comments" dataDxfId="303"/>
  </tableColumns>
  <tableStyleInfo name="TableStyleLight16"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5A1E052-D04E-4BEE-89C7-BF83A23D8037}" name="Table91" displayName="Table91" ref="A209:R241" insertRowShift="1" totalsRowShown="0" headerRowDxfId="302" dataDxfId="301">
  <autoFilter ref="A209:R241" xr:uid="{35A1E052-D04E-4BEE-89C7-BF83A23D8037}"/>
  <tableColumns count="18">
    <tableColumn id="1" xr3:uid="{5627066D-F27F-4043-B1C7-17970CDBFA30}" name="Course Number" dataDxfId="300">
      <calculatedColumnFormula>"PSYCH"&amp;TEXT(Table91[[#This Row],[Count]],"000")&amp;"."&amp;IF(Table91[[#This Row],[Category]]="Cat 1","1",IF(Table91[[#This Row],[Category]]="Cat 2","2",IF(Table91[[#This Row],[Category]]="Cat 3","3","O")))</calculatedColumnFormula>
    </tableColumn>
    <tableColumn id="2" xr3:uid="{ED81C306-1723-4049-B83A-0B8E6A21F233}" name="Count" dataDxfId="299">
      <calculatedColumnFormula>MAX(Table89[Count])+ROWS(INDEX(Table91[Count],1):Table91[[#This Row],[Count]])</calculatedColumnFormula>
    </tableColumn>
    <tableColumn id="3" xr3:uid="{E07C4092-A940-4A40-883B-3D2FD3528763}" name="Specialty / Programme" dataDxfId="298"/>
    <tableColumn id="4" xr3:uid="{BF98D363-0D53-42DF-B7D0-50C4DFE9F4C2}" name="Event/Course Title" dataDxfId="297"/>
    <tableColumn id="5" xr3:uid="{DFCBDD4E-ADC7-497C-A0AD-6AE45A7BFFA3}" name="Category" dataDxfId="296"/>
    <tableColumn id="6" xr3:uid="{1A011B59-9C19-4AF6-9A7B-2841EC844C90}" name="All" dataDxfId="295"/>
    <tableColumn id="7" xr3:uid="{13BB2612-4748-49F8-9AAF-1CBC85CA26DC}" name="CT1" dataDxfId="294"/>
    <tableColumn id="8" xr3:uid="{F5B1F509-AC12-48A2-B716-CB32B6A5B13C}" name="CT2" dataDxfId="293"/>
    <tableColumn id="9" xr3:uid="{A6E1AC70-FD7D-41A7-9270-4186811FB2DE}" name="CT3" dataDxfId="292"/>
    <tableColumn id="10" xr3:uid="{9145CF54-4790-4143-854F-DA78AAA056FE}" name="ST1" dataDxfId="291"/>
    <tableColumn id="11" xr3:uid="{F52310C2-52D0-4664-892D-4265025A85EA}" name="ST2" dataDxfId="290"/>
    <tableColumn id="12" xr3:uid="{98400321-BED9-4D8F-8724-9A96C733B465}" name="ST3" dataDxfId="289"/>
    <tableColumn id="13" xr3:uid="{2F52CC3C-A28A-4321-A30B-DFB98E1F9DC3}" name="ST4" dataDxfId="288"/>
    <tableColumn id="14" xr3:uid="{64B8EC29-9B93-4C33-B76F-E90559710D6F}" name="ST5" dataDxfId="287"/>
    <tableColumn id="15" xr3:uid="{43A214E8-03FA-497C-ACDC-71CBDA18C333}" name="ST6" dataDxfId="286"/>
    <tableColumn id="16" xr3:uid="{11F71D7D-6638-4897-9A42-44F5FCF7AF70}" name="ST7" dataDxfId="285"/>
    <tableColumn id="17" xr3:uid="{53EF5FFB-82EA-4FC5-9F3A-AE504FD7DAA8}" name="ST8" dataDxfId="284"/>
    <tableColumn id="18" xr3:uid="{B2837BE3-7D18-4BC4-BBDA-FF4D86361273}" name="Comments" dataDxfId="283"/>
  </tableColumns>
  <tableStyleInfo name="TableStyleLight16"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9CCE7E8-96A6-4DD4-9449-54A9F6519FDF}" name="Table92" displayName="Table92" ref="A245:R265" insertRowShift="1" totalsRowShown="0" headerRowDxfId="282" dataDxfId="281">
  <autoFilter ref="A245:R265" xr:uid="{19CCE7E8-96A6-4DD4-9449-54A9F6519FDF}"/>
  <tableColumns count="18">
    <tableColumn id="1" xr3:uid="{CF223200-300A-4AC4-ABFB-4F17B3503825}" name="Course Number" dataDxfId="280">
      <calculatedColumnFormula>"PSYCH"&amp;TEXT(Table92[[#This Row],[Count]],"000")&amp;"."&amp;IF(Table92[[#This Row],[Category]]="Cat 1","1",IF(Table92[[#This Row],[Category]]="Cat 2","2",IF(Table92[[#This Row],[Category]]="Cat 3","3","O")))</calculatedColumnFormula>
    </tableColumn>
    <tableColumn id="2" xr3:uid="{1F4CDCB3-EBC1-4E27-8BF3-252A1CD84DE6}" name="Count" dataDxfId="279">
      <calculatedColumnFormula>MAX(Table89[Count])+ROWS(INDEX(Table92[Count],1):Table92[[#This Row],[Count]])</calculatedColumnFormula>
    </tableColumn>
    <tableColumn id="3" xr3:uid="{FCCBCB0F-F51C-406D-9945-FA2E217F9BFF}" name="Specialty / Programme" dataDxfId="278"/>
    <tableColumn id="4" xr3:uid="{00322719-046C-4DE7-ACFC-D88B6465A894}" name="Event/Course Title" dataDxfId="277"/>
    <tableColumn id="5" xr3:uid="{9D795F3F-5C89-485C-8DD7-521C51BA1FF4}" name="Category" dataDxfId="276"/>
    <tableColumn id="6" xr3:uid="{6A976F62-50C4-4B41-BA0C-9A48D15B76EC}" name="All" dataDxfId="275"/>
    <tableColumn id="7" xr3:uid="{7B459D40-FE94-44DC-85AD-EE80CBC80EB7}" name="CT1" dataDxfId="274"/>
    <tableColumn id="8" xr3:uid="{6B7B8017-9103-4F32-B248-1F823A348EF6}" name="CT2" dataDxfId="273"/>
    <tableColumn id="9" xr3:uid="{A2883DBE-43F6-4BD5-BEBF-927C67D1E493}" name="CT3" dataDxfId="272"/>
    <tableColumn id="10" xr3:uid="{D2B0211C-6C6E-4272-9359-1EDBB82E66DA}" name="ST1" dataDxfId="271"/>
    <tableColumn id="11" xr3:uid="{87F9048E-44A6-43FA-86C8-B541F5C09AA1}" name="ST2" dataDxfId="270"/>
    <tableColumn id="12" xr3:uid="{BD0F1350-BA38-4D05-AF45-E68C16EA5045}" name="ST3" dataDxfId="269"/>
    <tableColumn id="13" xr3:uid="{13A937D4-B8D6-4638-9807-872EF37E5DAD}" name="ST4" dataDxfId="268"/>
    <tableColumn id="14" xr3:uid="{18387EB2-A568-41CE-95B3-23D7E5DFECD6}" name="ST5" dataDxfId="267"/>
    <tableColumn id="15" xr3:uid="{607B3C29-25EA-4B9E-86CC-66BC6CB92BC7}" name="ST6" dataDxfId="266"/>
    <tableColumn id="16" xr3:uid="{A2DF287B-6787-4430-8083-B31945A3F416}" name="ST7" dataDxfId="265"/>
    <tableColumn id="17" xr3:uid="{8950B07F-D297-462C-9E2A-C4CA4BF88F67}" name="ST8" dataDxfId="264"/>
    <tableColumn id="18" xr3:uid="{B8FBFFC9-1948-429F-96F6-153E7C721E04}" name="Comments" dataDxfId="263"/>
  </tableColumns>
  <tableStyleInfo name="TableStyleLight16"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BA1C5D4E-C28A-4270-BCC8-377AD170085D}" name="Table93" displayName="Table93" ref="A269:R282" insertRowShift="1" totalsRowShown="0" headerRowDxfId="262" dataDxfId="261">
  <autoFilter ref="A269:R282" xr:uid="{BA1C5D4E-C28A-4270-BCC8-377AD170085D}"/>
  <tableColumns count="18">
    <tableColumn id="1" xr3:uid="{C758551B-7CA6-4FE6-975F-17E00014E8B5}" name="Course Number" dataDxfId="260">
      <calculatedColumnFormula>"PSYCH"&amp;TEXT(Table93[[#This Row],[Count]],"000")&amp;"."&amp;IF(Table93[[#This Row],[Category]]="Cat 1","1",IF(Table93[[#This Row],[Category]]="Cat 2","2",IF(Table93[[#This Row],[Category]]="Cat 3","3","O")))</calculatedColumnFormula>
    </tableColumn>
    <tableColumn id="2" xr3:uid="{A325C860-6079-40AE-A6F4-A45E7B8715B0}" name="Count" dataDxfId="259">
      <calculatedColumnFormula>MAX(Table89[Count])+ROWS(INDEX(Table93[Count],1):Table93[[#This Row],[Count]])</calculatedColumnFormula>
    </tableColumn>
    <tableColumn id="3" xr3:uid="{D681C558-A50B-4F7E-9C77-CADD36FF8F26}" name="Specialty / Programme" dataDxfId="258"/>
    <tableColumn id="4" xr3:uid="{240DF204-BF42-4A5B-8C47-2BB1830327A8}" name="Event/Course Title" dataDxfId="257"/>
    <tableColumn id="5" xr3:uid="{3544A7B3-8293-4F41-98DA-CCC87513C024}" name="Category" dataDxfId="256"/>
    <tableColumn id="6" xr3:uid="{DD2F7BE0-FABD-4D9D-9A19-C0537C157F82}" name="All" dataDxfId="255"/>
    <tableColumn id="7" xr3:uid="{1AEA235E-7A69-488C-ACD9-98E23AE7ED44}" name="CT1" dataDxfId="254"/>
    <tableColumn id="8" xr3:uid="{8D2C4ABB-C1D9-4B5E-A856-3691F3D31BD5}" name="CT2" dataDxfId="253"/>
    <tableColumn id="9" xr3:uid="{E013C1D0-F9BD-4913-8F53-5CEEB3C106FD}" name="CT3" dataDxfId="252"/>
    <tableColumn id="10" xr3:uid="{F72D510D-7F1B-4B86-84ED-5AAACDD02E11}" name="ST1" dataDxfId="251"/>
    <tableColumn id="11" xr3:uid="{994E2732-11B5-421F-B57D-006BE042E926}" name="ST2" dataDxfId="250"/>
    <tableColumn id="12" xr3:uid="{2AF8E0ED-048A-4EA2-8A30-BD9EBDD46FD1}" name="ST3" dataDxfId="249"/>
    <tableColumn id="13" xr3:uid="{6C867F90-69CE-4B2A-9CFC-9B5CF87BC7F7}" name="ST4" dataDxfId="248"/>
    <tableColumn id="14" xr3:uid="{56AF9E2C-8950-4216-B95C-70977492A939}" name="ST5" dataDxfId="247"/>
    <tableColumn id="15" xr3:uid="{7F91F4E1-D72F-4EC3-9566-A8F5A5F17A73}" name="ST6" dataDxfId="246"/>
    <tableColumn id="16" xr3:uid="{47A22AA4-8F8B-48C1-BA23-447957674477}" name="ST7" dataDxfId="245"/>
    <tableColumn id="17" xr3:uid="{41670793-7856-4639-A3B1-E85A47468C0B}" name="ST8" dataDxfId="244"/>
    <tableColumn id="18" xr3:uid="{45A6DC1F-743E-43B0-B753-FAD5BCF4107E}" name="Comments" dataDxfId="243"/>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55.xml"/><Relationship Id="rId13" Type="http://schemas.openxmlformats.org/officeDocument/2006/relationships/table" Target="../tables/table60.xml"/><Relationship Id="rId18" Type="http://schemas.openxmlformats.org/officeDocument/2006/relationships/table" Target="../tables/table65.xml"/><Relationship Id="rId3" Type="http://schemas.openxmlformats.org/officeDocument/2006/relationships/table" Target="../tables/table50.xml"/><Relationship Id="rId21" Type="http://schemas.openxmlformats.org/officeDocument/2006/relationships/table" Target="../tables/table68.xml"/><Relationship Id="rId7" Type="http://schemas.openxmlformats.org/officeDocument/2006/relationships/table" Target="../tables/table54.xml"/><Relationship Id="rId12" Type="http://schemas.openxmlformats.org/officeDocument/2006/relationships/table" Target="../tables/table59.xml"/><Relationship Id="rId17" Type="http://schemas.openxmlformats.org/officeDocument/2006/relationships/table" Target="../tables/table64.xml"/><Relationship Id="rId2" Type="http://schemas.openxmlformats.org/officeDocument/2006/relationships/vmlDrawing" Target="../drawings/vmlDrawing1.vml"/><Relationship Id="rId16" Type="http://schemas.openxmlformats.org/officeDocument/2006/relationships/table" Target="../tables/table63.xml"/><Relationship Id="rId20" Type="http://schemas.openxmlformats.org/officeDocument/2006/relationships/table" Target="../tables/table67.xml"/><Relationship Id="rId1" Type="http://schemas.openxmlformats.org/officeDocument/2006/relationships/printerSettings" Target="../printerSettings/printerSettings12.bin"/><Relationship Id="rId6" Type="http://schemas.openxmlformats.org/officeDocument/2006/relationships/table" Target="../tables/table53.xml"/><Relationship Id="rId11" Type="http://schemas.openxmlformats.org/officeDocument/2006/relationships/table" Target="../tables/table58.xml"/><Relationship Id="rId5" Type="http://schemas.openxmlformats.org/officeDocument/2006/relationships/table" Target="../tables/table52.xml"/><Relationship Id="rId15" Type="http://schemas.openxmlformats.org/officeDocument/2006/relationships/table" Target="../tables/table62.xml"/><Relationship Id="rId10" Type="http://schemas.openxmlformats.org/officeDocument/2006/relationships/table" Target="../tables/table57.xml"/><Relationship Id="rId19" Type="http://schemas.openxmlformats.org/officeDocument/2006/relationships/table" Target="../tables/table66.xml"/><Relationship Id="rId4" Type="http://schemas.openxmlformats.org/officeDocument/2006/relationships/table" Target="../tables/table51.xml"/><Relationship Id="rId9" Type="http://schemas.openxmlformats.org/officeDocument/2006/relationships/table" Target="../tables/table56.xml"/><Relationship Id="rId14" Type="http://schemas.openxmlformats.org/officeDocument/2006/relationships/table" Target="../tables/table61.xml"/><Relationship Id="rId22"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74.xml"/><Relationship Id="rId3" Type="http://schemas.openxmlformats.org/officeDocument/2006/relationships/table" Target="../tables/table69.xml"/><Relationship Id="rId7" Type="http://schemas.openxmlformats.org/officeDocument/2006/relationships/table" Target="../tables/table73.xml"/><Relationship Id="rId2" Type="http://schemas.openxmlformats.org/officeDocument/2006/relationships/printerSettings" Target="../printerSettings/printerSettings13.bin"/><Relationship Id="rId1" Type="http://schemas.openxmlformats.org/officeDocument/2006/relationships/hyperlink" Target="https://gbr01.safelinks.protection.outlook.com/?url=https%3A%2F%2Fwww.imperialendo.co.uk%2Fcalman149.htm&amp;data=05%7C02%7Cengland.StudyLeave.SW%40nhs.net%7C14eaa8ec44454ad31db808dee8aa6a10%7C37c354b285b047f5b22207b48d774ee3%7C0%7C0%7C639204015831221710%7CUnknown%7CTWFpbGZsb3d8eyJFbXB0eU1hcGkiOnRydWUsIlYiOiIwLjAuMDAwMCIsIlAiOiJXaW4zMiIsIkFOIjoiTWFpbCIsIldUIjoyfQ%3D%3D%7C0%7C%7C%7C&amp;sdata=IlnKyRMzuAEdu38tHS4LS7b6rTRk3734NA2rsPcglPw%3D&amp;reserved=0" TargetMode="External"/><Relationship Id="rId6" Type="http://schemas.openxmlformats.org/officeDocument/2006/relationships/table" Target="../tables/table72.xml"/><Relationship Id="rId5" Type="http://schemas.openxmlformats.org/officeDocument/2006/relationships/table" Target="../tables/table71.xml"/><Relationship Id="rId10" Type="http://schemas.openxmlformats.org/officeDocument/2006/relationships/table" Target="../tables/table76.xml"/><Relationship Id="rId4" Type="http://schemas.openxmlformats.org/officeDocument/2006/relationships/table" Target="../tables/table70.xml"/><Relationship Id="rId9" Type="http://schemas.openxmlformats.org/officeDocument/2006/relationships/table" Target="../tables/table75.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84.xml"/><Relationship Id="rId3" Type="http://schemas.openxmlformats.org/officeDocument/2006/relationships/table" Target="../tables/table79.xml"/><Relationship Id="rId7" Type="http://schemas.openxmlformats.org/officeDocument/2006/relationships/table" Target="../tables/table83.xml"/><Relationship Id="rId2" Type="http://schemas.openxmlformats.org/officeDocument/2006/relationships/table" Target="../tables/table78.xml"/><Relationship Id="rId1" Type="http://schemas.openxmlformats.org/officeDocument/2006/relationships/printerSettings" Target="../printerSettings/printerSettings15.bin"/><Relationship Id="rId6" Type="http://schemas.openxmlformats.org/officeDocument/2006/relationships/table" Target="../tables/table82.xml"/><Relationship Id="rId5" Type="http://schemas.openxmlformats.org/officeDocument/2006/relationships/table" Target="../tables/table81.xml"/><Relationship Id="rId4" Type="http://schemas.openxmlformats.org/officeDocument/2006/relationships/table" Target="../tables/table80.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91.xml"/><Relationship Id="rId3" Type="http://schemas.openxmlformats.org/officeDocument/2006/relationships/table" Target="../tables/table86.xml"/><Relationship Id="rId7" Type="http://schemas.openxmlformats.org/officeDocument/2006/relationships/table" Target="../tables/table90.xml"/><Relationship Id="rId12" Type="http://schemas.openxmlformats.org/officeDocument/2006/relationships/table" Target="../tables/table95.xml"/><Relationship Id="rId2" Type="http://schemas.openxmlformats.org/officeDocument/2006/relationships/table" Target="../tables/table85.xml"/><Relationship Id="rId1" Type="http://schemas.openxmlformats.org/officeDocument/2006/relationships/printerSettings" Target="../printerSettings/printerSettings16.bin"/><Relationship Id="rId6" Type="http://schemas.openxmlformats.org/officeDocument/2006/relationships/table" Target="../tables/table89.xml"/><Relationship Id="rId11" Type="http://schemas.openxmlformats.org/officeDocument/2006/relationships/table" Target="../tables/table94.xml"/><Relationship Id="rId5" Type="http://schemas.openxmlformats.org/officeDocument/2006/relationships/table" Target="../tables/table88.xml"/><Relationship Id="rId10" Type="http://schemas.openxmlformats.org/officeDocument/2006/relationships/table" Target="../tables/table93.xml"/><Relationship Id="rId4" Type="http://schemas.openxmlformats.org/officeDocument/2006/relationships/table" Target="../tables/table87.xml"/><Relationship Id="rId9" Type="http://schemas.openxmlformats.org/officeDocument/2006/relationships/table" Target="../tables/table9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table" Target="../tables/table27.xml"/><Relationship Id="rId18" Type="http://schemas.openxmlformats.org/officeDocument/2006/relationships/table" Target="../tables/table32.xml"/><Relationship Id="rId26" Type="http://schemas.openxmlformats.org/officeDocument/2006/relationships/table" Target="../tables/table40.xml"/><Relationship Id="rId3" Type="http://schemas.openxmlformats.org/officeDocument/2006/relationships/table" Target="../tables/table17.xml"/><Relationship Id="rId21" Type="http://schemas.openxmlformats.org/officeDocument/2006/relationships/table" Target="../tables/table35.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5" Type="http://schemas.openxmlformats.org/officeDocument/2006/relationships/table" Target="../tables/table39.xml"/><Relationship Id="rId33" Type="http://schemas.openxmlformats.org/officeDocument/2006/relationships/table" Target="../tables/table47.xml"/><Relationship Id="rId2" Type="http://schemas.openxmlformats.org/officeDocument/2006/relationships/table" Target="../tables/table16.xml"/><Relationship Id="rId16" Type="http://schemas.openxmlformats.org/officeDocument/2006/relationships/table" Target="../tables/table30.xml"/><Relationship Id="rId20" Type="http://schemas.openxmlformats.org/officeDocument/2006/relationships/table" Target="../tables/table34.xml"/><Relationship Id="rId29" Type="http://schemas.openxmlformats.org/officeDocument/2006/relationships/table" Target="../tables/table43.xml"/><Relationship Id="rId1" Type="http://schemas.openxmlformats.org/officeDocument/2006/relationships/printerSettings" Target="../printerSettings/printerSettings9.bin"/><Relationship Id="rId6" Type="http://schemas.openxmlformats.org/officeDocument/2006/relationships/table" Target="../tables/table20.xml"/><Relationship Id="rId11" Type="http://schemas.openxmlformats.org/officeDocument/2006/relationships/table" Target="../tables/table25.xml"/><Relationship Id="rId24" Type="http://schemas.openxmlformats.org/officeDocument/2006/relationships/table" Target="../tables/table38.xml"/><Relationship Id="rId32" Type="http://schemas.openxmlformats.org/officeDocument/2006/relationships/table" Target="../tables/table46.xml"/><Relationship Id="rId5" Type="http://schemas.openxmlformats.org/officeDocument/2006/relationships/table" Target="../tables/table19.xml"/><Relationship Id="rId15" Type="http://schemas.openxmlformats.org/officeDocument/2006/relationships/table" Target="../tables/table29.xml"/><Relationship Id="rId23" Type="http://schemas.openxmlformats.org/officeDocument/2006/relationships/table" Target="../tables/table37.xml"/><Relationship Id="rId28" Type="http://schemas.openxmlformats.org/officeDocument/2006/relationships/table" Target="../tables/table42.xml"/><Relationship Id="rId10" Type="http://schemas.openxmlformats.org/officeDocument/2006/relationships/table" Target="../tables/table24.xml"/><Relationship Id="rId19" Type="http://schemas.openxmlformats.org/officeDocument/2006/relationships/table" Target="../tables/table33.xml"/><Relationship Id="rId31" Type="http://schemas.openxmlformats.org/officeDocument/2006/relationships/table" Target="../tables/table45.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 Id="rId22" Type="http://schemas.openxmlformats.org/officeDocument/2006/relationships/table" Target="../tables/table36.xml"/><Relationship Id="rId27" Type="http://schemas.openxmlformats.org/officeDocument/2006/relationships/table" Target="../tables/table41.xml"/><Relationship Id="rId30" Type="http://schemas.openxmlformats.org/officeDocument/2006/relationships/table" Target="../tables/table44.xml"/><Relationship Id="rId8"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BD9F-9E1B-48F7-BA04-83D269E8DBCE}">
  <sheetPr>
    <pageSetUpPr fitToPage="1"/>
  </sheetPr>
  <dimension ref="A1:Q23"/>
  <sheetViews>
    <sheetView tabSelected="1" view="pageLayout" topLeftCell="B10" zoomScaleNormal="93" workbookViewId="0">
      <selection activeCell="C20" sqref="C20"/>
    </sheetView>
  </sheetViews>
  <sheetFormatPr defaultRowHeight="15" x14ac:dyDescent="0.25"/>
  <cols>
    <col min="1" max="1" width="17.5703125" customWidth="1"/>
    <col min="2" max="2" width="51.140625" style="5" customWidth="1"/>
    <col min="3" max="3" width="82.42578125" style="2" customWidth="1"/>
    <col min="4" max="4" width="52.42578125" style="2" customWidth="1"/>
    <col min="5" max="5" width="56.5703125" style="2" customWidth="1"/>
    <col min="6" max="15" width="9.140625" style="2"/>
    <col min="16" max="16" width="9.140625" style="1" customWidth="1"/>
    <col min="17" max="17" width="68.5703125" style="2" customWidth="1"/>
  </cols>
  <sheetData>
    <row r="1" spans="1:17" ht="31.5" x14ac:dyDescent="0.5">
      <c r="A1" s="57" t="s">
        <v>0</v>
      </c>
      <c r="B1" s="57"/>
      <c r="C1" s="57"/>
      <c r="D1" s="57"/>
      <c r="E1" s="57"/>
      <c r="F1" s="11"/>
      <c r="G1" s="11"/>
      <c r="H1" s="11"/>
      <c r="I1" s="11"/>
      <c r="J1" s="11"/>
      <c r="K1" s="11"/>
      <c r="L1" s="11"/>
      <c r="M1" s="11"/>
      <c r="N1" s="11"/>
      <c r="O1" s="11"/>
      <c r="P1" s="11"/>
      <c r="Q1" s="11"/>
    </row>
    <row r="3" spans="1:17" ht="28.5" x14ac:dyDescent="0.45">
      <c r="A3" s="63" t="s">
        <v>1</v>
      </c>
      <c r="B3" s="63"/>
      <c r="C3" s="63"/>
      <c r="D3" s="63"/>
      <c r="E3" s="63"/>
      <c r="F3" s="12"/>
      <c r="G3" s="12"/>
      <c r="H3" s="12"/>
      <c r="I3" s="12"/>
      <c r="J3" s="12"/>
      <c r="K3" s="12"/>
      <c r="L3" s="12"/>
      <c r="M3" s="12"/>
      <c r="N3" s="12"/>
      <c r="O3" s="12"/>
      <c r="P3" s="12"/>
      <c r="Q3" s="12"/>
    </row>
    <row r="5" spans="1:17" ht="24" x14ac:dyDescent="0.4">
      <c r="A5" s="64" t="s">
        <v>2</v>
      </c>
      <c r="B5" s="64"/>
      <c r="C5" s="64"/>
      <c r="D5" s="64"/>
      <c r="E5" s="64"/>
      <c r="F5" s="13"/>
      <c r="G5" s="13"/>
      <c r="H5" s="13"/>
      <c r="I5" s="13"/>
      <c r="J5" s="13"/>
      <c r="K5" s="13"/>
      <c r="L5" s="13"/>
      <c r="M5" s="13"/>
      <c r="N5" s="13"/>
      <c r="O5" s="13"/>
      <c r="P5" s="13"/>
      <c r="Q5" s="13"/>
    </row>
    <row r="6" spans="1:17" ht="24" x14ac:dyDescent="0.4">
      <c r="A6" s="64" t="s">
        <v>3</v>
      </c>
      <c r="B6" s="64"/>
      <c r="C6" s="64"/>
      <c r="D6" s="64"/>
      <c r="E6" s="64"/>
      <c r="F6" s="13"/>
      <c r="G6" s="13"/>
      <c r="H6" s="13"/>
      <c r="I6" s="13"/>
      <c r="J6" s="13"/>
      <c r="K6" s="13"/>
      <c r="L6" s="13"/>
      <c r="M6" s="13"/>
      <c r="N6" s="13"/>
      <c r="O6" s="13"/>
      <c r="P6" s="13"/>
      <c r="Q6" s="13"/>
    </row>
    <row r="8" spans="1:17" ht="28.5" x14ac:dyDescent="0.45">
      <c r="A8" s="65" t="s">
        <v>4</v>
      </c>
      <c r="B8" s="65"/>
      <c r="C8" s="65"/>
      <c r="D8" s="65"/>
      <c r="E8" s="65"/>
      <c r="F8" s="14"/>
      <c r="G8" s="14"/>
      <c r="H8" s="14"/>
      <c r="I8" s="14"/>
      <c r="J8" s="14"/>
      <c r="K8" s="14"/>
      <c r="L8" s="14"/>
      <c r="M8" s="14"/>
      <c r="N8" s="14"/>
      <c r="O8" s="14"/>
      <c r="P8" s="14"/>
      <c r="Q8" s="14"/>
    </row>
    <row r="10" spans="1:17" ht="42.75" customHeight="1" x14ac:dyDescent="0.35">
      <c r="A10" s="61" t="s">
        <v>5</v>
      </c>
      <c r="B10" s="61"/>
      <c r="C10" s="61"/>
      <c r="D10" s="61"/>
      <c r="E10" s="61"/>
      <c r="F10" s="9"/>
      <c r="G10" s="9"/>
      <c r="H10" s="9"/>
      <c r="I10" s="9"/>
      <c r="J10" s="9"/>
      <c r="K10" s="9"/>
      <c r="L10" s="9"/>
      <c r="M10" s="9"/>
      <c r="N10" s="9"/>
      <c r="O10" s="9"/>
      <c r="P10" s="9"/>
      <c r="Q10" s="9"/>
    </row>
    <row r="12" spans="1:17" ht="21" x14ac:dyDescent="0.35">
      <c r="A12" s="60" t="s">
        <v>6</v>
      </c>
      <c r="B12" s="60"/>
      <c r="C12" s="60"/>
      <c r="D12" s="60"/>
      <c r="E12" s="60"/>
      <c r="F12" s="10"/>
      <c r="G12" s="10"/>
      <c r="H12" s="10"/>
      <c r="I12" s="10"/>
      <c r="J12" s="10"/>
      <c r="K12" s="10"/>
      <c r="L12" s="10"/>
      <c r="M12" s="10"/>
      <c r="N12" s="10"/>
      <c r="O12" s="10"/>
      <c r="P12" s="10"/>
      <c r="Q12" s="10"/>
    </row>
    <row r="14" spans="1:17" ht="21" x14ac:dyDescent="0.35">
      <c r="A14" s="60" t="s">
        <v>7</v>
      </c>
      <c r="B14" s="60"/>
      <c r="C14" s="60"/>
      <c r="D14" s="60"/>
      <c r="E14" s="60"/>
      <c r="F14" s="10"/>
      <c r="G14" s="10"/>
      <c r="H14" s="10"/>
      <c r="I14" s="10"/>
      <c r="J14" s="10"/>
      <c r="K14" s="10"/>
      <c r="L14" s="10"/>
      <c r="M14" s="10"/>
      <c r="N14" s="10"/>
      <c r="O14" s="10"/>
      <c r="P14" s="10"/>
      <c r="Q14" s="10"/>
    </row>
    <row r="15" spans="1:17" ht="21" x14ac:dyDescent="0.35">
      <c r="A15" s="8"/>
      <c r="B15" s="8"/>
      <c r="C15" s="8"/>
      <c r="D15" s="8"/>
      <c r="E15" s="8"/>
      <c r="F15" s="10"/>
      <c r="G15" s="10"/>
      <c r="H15" s="10"/>
      <c r="I15" s="10"/>
      <c r="J15" s="10"/>
      <c r="K15" s="10"/>
      <c r="L15" s="10"/>
      <c r="M15" s="10"/>
      <c r="N15" s="10"/>
      <c r="O15" s="10"/>
      <c r="P15" s="10"/>
      <c r="Q15" s="10"/>
    </row>
    <row r="16" spans="1:17" ht="21" x14ac:dyDescent="0.35">
      <c r="A16" s="60"/>
      <c r="B16" s="60"/>
      <c r="C16" s="60"/>
      <c r="D16" s="60"/>
      <c r="E16" s="60"/>
      <c r="F16" s="10"/>
      <c r="G16" s="10"/>
      <c r="H16" s="10"/>
      <c r="I16" s="10"/>
      <c r="J16" s="10"/>
      <c r="K16" s="10"/>
      <c r="L16" s="10"/>
      <c r="M16" s="10"/>
      <c r="N16" s="10"/>
      <c r="O16" s="10"/>
      <c r="P16" s="10"/>
      <c r="Q16" s="10"/>
    </row>
    <row r="18" spans="1:5" x14ac:dyDescent="0.25">
      <c r="A18" s="15" t="s">
        <v>8</v>
      </c>
      <c r="B18" s="15" t="s">
        <v>9</v>
      </c>
      <c r="C18" s="15" t="s">
        <v>10</v>
      </c>
      <c r="D18" s="15" t="s">
        <v>11</v>
      </c>
      <c r="E18" s="15" t="s">
        <v>12</v>
      </c>
    </row>
    <row r="19" spans="1:5" ht="90" x14ac:dyDescent="0.25">
      <c r="A19" s="16" t="s">
        <v>13</v>
      </c>
      <c r="B19" s="17" t="s">
        <v>14</v>
      </c>
      <c r="C19" s="17" t="s">
        <v>15</v>
      </c>
      <c r="D19" s="16" t="s">
        <v>16</v>
      </c>
      <c r="E19" s="17" t="s">
        <v>17</v>
      </c>
    </row>
    <row r="20" spans="1:5" ht="129" customHeight="1" x14ac:dyDescent="0.25">
      <c r="A20" s="18" t="s">
        <v>18</v>
      </c>
      <c r="B20" s="17" t="s">
        <v>19</v>
      </c>
      <c r="C20" s="17" t="s">
        <v>20</v>
      </c>
      <c r="D20" s="16" t="s">
        <v>21</v>
      </c>
      <c r="E20" s="17" t="s">
        <v>22</v>
      </c>
    </row>
    <row r="21" spans="1:5" ht="54.75" customHeight="1" x14ac:dyDescent="0.25">
      <c r="A21" s="19" t="s">
        <v>23</v>
      </c>
      <c r="B21" s="17" t="s">
        <v>24</v>
      </c>
      <c r="C21" s="17" t="s">
        <v>25</v>
      </c>
      <c r="D21" s="16" t="s">
        <v>23</v>
      </c>
      <c r="E21" s="17" t="s">
        <v>26</v>
      </c>
    </row>
    <row r="23" spans="1:5" ht="64.5" customHeight="1" x14ac:dyDescent="0.35">
      <c r="A23" s="62" t="s">
        <v>27</v>
      </c>
      <c r="B23" s="62"/>
      <c r="C23" s="62"/>
      <c r="D23" s="62"/>
      <c r="E23" s="62"/>
    </row>
  </sheetData>
  <mergeCells count="10">
    <mergeCell ref="A14:E14"/>
    <mergeCell ref="A10:E10"/>
    <mergeCell ref="A23:E23"/>
    <mergeCell ref="A16:E16"/>
    <mergeCell ref="A1:E1"/>
    <mergeCell ref="A3:E3"/>
    <mergeCell ref="A5:E5"/>
    <mergeCell ref="A6:E6"/>
    <mergeCell ref="A8:E8"/>
    <mergeCell ref="A12:E12"/>
  </mergeCells>
  <conditionalFormatting sqref="A19">
    <cfRule type="containsText" dxfId="242" priority="4" operator="containsText" text="Essential">
      <formula>NOT(ISERROR(SEARCH("Essential",A19)))</formula>
    </cfRule>
    <cfRule type="containsText" dxfId="241" priority="6" operator="containsText" text="1">
      <formula>NOT(ISERROR(SEARCH("1",A19)))</formula>
    </cfRule>
  </conditionalFormatting>
  <conditionalFormatting sqref="A20">
    <cfRule type="containsText" dxfId="240" priority="3" operator="containsText" text="Discretionary">
      <formula>NOT(ISERROR(SEARCH("Discretionary",A20)))</formula>
    </cfRule>
  </conditionalFormatting>
  <conditionalFormatting sqref="A21">
    <cfRule type="containsText" dxfId="239" priority="1" operator="containsText" text="Other">
      <formula>NOT(ISERROR(SEARCH("Other",A21)))</formula>
    </cfRule>
  </conditionalFormatting>
  <conditionalFormatting sqref="D4 D7 D9 D11 D13 D17 D22 D24:D480">
    <cfRule type="containsText" dxfId="238" priority="7" operator="containsText" text="Other">
      <formula>NOT(ISERROR(SEARCH("Other",D4)))</formula>
    </cfRule>
    <cfRule type="containsText" dxfId="237" priority="8" operator="containsText" text="Discretionary">
      <formula>NOT(ISERROR(SEARCH("Discretionary",D4)))</formula>
    </cfRule>
    <cfRule type="containsText" dxfId="236" priority="9" operator="containsText" text="Essential">
      <formula>NOT(ISERROR(SEARCH("Essential",D4)))</formula>
    </cfRule>
  </conditionalFormatting>
  <conditionalFormatting sqref="D4:O4 D7:O7 D9:O9 D11:O11 D13:O13 D17:O17 D22:O22 D24:O604 F18:O21 F23:O23">
    <cfRule type="containsText" dxfId="235" priority="10" operator="containsText" text="x">
      <formula>NOT(ISERROR(SEARCH("x",D4)))</formula>
    </cfRule>
  </conditionalFormatting>
  <pageMargins left="0.7" right="0.7" top="0.75" bottom="0.75" header="0.3" footer="0.3"/>
  <pageSetup paperSize="9" scale="50" fitToHeight="0"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DF79D-3274-44C5-9A6F-7A02E04B280F}">
  <sheetPr>
    <pageSetUpPr fitToPage="1"/>
  </sheetPr>
  <dimension ref="A1:R122"/>
  <sheetViews>
    <sheetView view="pageLayout" topLeftCell="J1" zoomScaleNormal="100" workbookViewId="0">
      <selection activeCell="R8" sqref="R8"/>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style="2" customWidth="1"/>
  </cols>
  <sheetData>
    <row r="1" spans="1:18" ht="31.5" x14ac:dyDescent="0.5">
      <c r="A1" s="57" t="s">
        <v>77</v>
      </c>
      <c r="B1" s="57"/>
      <c r="C1" s="57"/>
      <c r="D1" s="57"/>
      <c r="E1" s="57"/>
      <c r="F1" s="57"/>
      <c r="G1" s="57"/>
      <c r="H1" s="57"/>
      <c r="I1" s="57"/>
      <c r="J1" s="57"/>
      <c r="K1" s="57"/>
      <c r="L1" s="57"/>
      <c r="M1" s="57"/>
      <c r="N1" s="57"/>
      <c r="O1" s="57"/>
      <c r="P1" s="57"/>
      <c r="Q1" s="57"/>
      <c r="R1" s="57"/>
    </row>
    <row r="2" spans="1:18" ht="46.5" customHeight="1" x14ac:dyDescent="0.25">
      <c r="A2" s="59" t="s">
        <v>152</v>
      </c>
      <c r="B2" s="59"/>
      <c r="C2" s="59"/>
      <c r="D2" s="59"/>
      <c r="E2" s="59"/>
      <c r="F2" s="59"/>
      <c r="G2" s="59"/>
      <c r="H2" s="59"/>
      <c r="I2" s="59"/>
      <c r="J2" s="59"/>
      <c r="K2" s="59"/>
      <c r="L2" s="59"/>
      <c r="M2" s="59"/>
      <c r="N2" s="59"/>
      <c r="O2" s="59"/>
      <c r="P2" s="59"/>
      <c r="Q2" s="59"/>
      <c r="R2" s="59"/>
    </row>
    <row r="3" spans="1:18" x14ac:dyDescent="0.25">
      <c r="A3" s="58" t="s">
        <v>80</v>
      </c>
      <c r="B3" s="58"/>
      <c r="C3" s="58"/>
      <c r="D3" s="58"/>
      <c r="E3" s="58"/>
      <c r="F3" s="58"/>
      <c r="G3" s="58"/>
      <c r="H3" s="58"/>
      <c r="I3" s="58"/>
      <c r="J3" s="58"/>
      <c r="K3" s="58"/>
      <c r="L3" s="58"/>
      <c r="M3" s="58"/>
      <c r="N3" s="58"/>
      <c r="O3" s="58"/>
      <c r="P3" s="58"/>
      <c r="Q3" s="58"/>
      <c r="R3" s="58"/>
    </row>
    <row r="5" spans="1:18" x14ac:dyDescent="0.25">
      <c r="A5" s="3" t="s">
        <v>120</v>
      </c>
      <c r="B5" s="3" t="s">
        <v>121</v>
      </c>
      <c r="C5" s="6"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"RAD"&amp;TEXT(Table82[[#This Row],[Count]],"000")&amp;"."&amp;IF(Table82[[#This Row],[Category]]="Essential","E",IF(Table82[[#This Row],[Category]]="Discretionary","D","O"))</f>
        <v>RAD001.D</v>
      </c>
      <c r="B6" s="2">
        <f>ROW()-ROW(Table82[[#Headers],[Count]])</f>
        <v>1</v>
      </c>
      <c r="C6" s="2" t="s">
        <v>80</v>
      </c>
      <c r="D6" s="5" t="s">
        <v>1158</v>
      </c>
      <c r="E6" s="2" t="s">
        <v>18</v>
      </c>
      <c r="J6" s="2" t="s">
        <v>127</v>
      </c>
      <c r="K6" s="2" t="s">
        <v>127</v>
      </c>
      <c r="L6" s="2" t="s">
        <v>127</v>
      </c>
      <c r="M6" s="2" t="s">
        <v>127</v>
      </c>
      <c r="N6" s="2" t="s">
        <v>127</v>
      </c>
      <c r="Q6" s="2"/>
      <c r="R6" s="5" t="s">
        <v>1159</v>
      </c>
    </row>
    <row r="7" spans="1:18" ht="30" x14ac:dyDescent="0.25">
      <c r="A7" s="2" t="str">
        <f>"RAD"&amp;TEXT(Table82[[#This Row],[Count]],"000")&amp;"."&amp;IF(Table82[[#This Row],[Category]]="Essential","E",IF(Table82[[#This Row],[Category]]="Discretionary","D","O"))</f>
        <v>RAD002.D</v>
      </c>
      <c r="B7" s="2">
        <f>ROW()-ROW(Table82[[#Headers],[Count]])</f>
        <v>2</v>
      </c>
      <c r="C7" s="2" t="s">
        <v>80</v>
      </c>
      <c r="D7" s="5" t="s">
        <v>1160</v>
      </c>
      <c r="E7" s="2" t="s">
        <v>18</v>
      </c>
      <c r="F7" s="2" t="s">
        <v>127</v>
      </c>
      <c r="Q7" s="2"/>
      <c r="R7" s="5"/>
    </row>
    <row r="8" spans="1:18" x14ac:dyDescent="0.25">
      <c r="A8" s="2" t="str">
        <f>"RAD"&amp;TEXT(Table82[[#This Row],[Count]],"000")&amp;"."&amp;IF(Table82[[#This Row],[Category]]="Essential","E",IF(Table82[[#This Row],[Category]]="Discretionary","D","O"))</f>
        <v>RAD003.O</v>
      </c>
      <c r="B8" s="2">
        <f>ROW()-ROW(Table82[[#Headers],[Count]])</f>
        <v>3</v>
      </c>
      <c r="C8" s="2" t="s">
        <v>80</v>
      </c>
      <c r="D8" s="5" t="s">
        <v>1161</v>
      </c>
      <c r="E8" s="2" t="s">
        <v>23</v>
      </c>
      <c r="N8" s="2" t="s">
        <v>127</v>
      </c>
      <c r="O8" s="2" t="s">
        <v>127</v>
      </c>
      <c r="Q8" s="2"/>
      <c r="R8" s="5" t="s">
        <v>1162</v>
      </c>
    </row>
    <row r="9" spans="1:18" ht="30" x14ac:dyDescent="0.25">
      <c r="A9" s="2" t="str">
        <f>"RAD"&amp;TEXT(Table82[[#This Row],[Count]],"000")&amp;"."&amp;IF(Table82[[#This Row],[Category]]="Essential","E",IF(Table82[[#This Row],[Category]]="Discretionary","D","O"))</f>
        <v>RAD004.D</v>
      </c>
      <c r="B9" s="2">
        <f>ROW()-ROW(Table82[[#Headers],[Count]])</f>
        <v>4</v>
      </c>
      <c r="C9" s="2" t="s">
        <v>80</v>
      </c>
      <c r="D9" s="5" t="s">
        <v>1163</v>
      </c>
      <c r="E9" s="2" t="s">
        <v>18</v>
      </c>
      <c r="N9" s="2" t="s">
        <v>127</v>
      </c>
      <c r="Q9" s="2"/>
      <c r="R9" s="5"/>
    </row>
    <row r="10" spans="1:18" x14ac:dyDescent="0.25">
      <c r="A10" s="2" t="str">
        <f>"RAD"&amp;TEXT(Table82[[#This Row],[Count]],"000")&amp;"."&amp;IF(Table82[[#This Row],[Category]]="Essential","E",IF(Table82[[#This Row],[Category]]="Discretionary","D","O"))</f>
        <v>RAD005.D</v>
      </c>
      <c r="B10" s="2">
        <f>ROW()-ROW(Table82[[#Headers],[Count]])</f>
        <v>5</v>
      </c>
      <c r="C10" s="2" t="s">
        <v>80</v>
      </c>
      <c r="D10" s="5" t="s">
        <v>1164</v>
      </c>
      <c r="E10" s="2" t="s">
        <v>18</v>
      </c>
      <c r="M10" s="2" t="s">
        <v>127</v>
      </c>
      <c r="N10" s="2" t="s">
        <v>127</v>
      </c>
      <c r="O10" s="2" t="s">
        <v>127</v>
      </c>
      <c r="Q10" s="2"/>
      <c r="R10" s="5"/>
    </row>
    <row r="11" spans="1:18" x14ac:dyDescent="0.25">
      <c r="A11" s="2" t="str">
        <f>"RAD"&amp;TEXT(Table82[[#This Row],[Count]],"000")&amp;"."&amp;IF(Table82[[#This Row],[Category]]="Essential","E",IF(Table82[[#This Row],[Category]]="Discretionary","D","O"))</f>
        <v>RAD006.O</v>
      </c>
      <c r="B11" s="2">
        <f>ROW()-ROW(Table82[[#Headers],[Count]])</f>
        <v>6</v>
      </c>
      <c r="C11" s="2" t="s">
        <v>80</v>
      </c>
      <c r="D11" s="5" t="s">
        <v>1165</v>
      </c>
      <c r="E11" s="2" t="s">
        <v>23</v>
      </c>
      <c r="F11" s="2" t="s">
        <v>127</v>
      </c>
      <c r="Q11" s="2"/>
      <c r="R11" s="5" t="s">
        <v>1162</v>
      </c>
    </row>
    <row r="12" spans="1:18" ht="30" x14ac:dyDescent="0.25">
      <c r="A12" s="2" t="str">
        <f>"RAD"&amp;TEXT(Table82[[#This Row],[Count]],"000")&amp;"."&amp;IF(Table82[[#This Row],[Category]]="Essential","E",IF(Table82[[#This Row],[Category]]="Discretionary","D","O"))</f>
        <v>RAD007.D</v>
      </c>
      <c r="B12" s="2">
        <f>ROW()-ROW(Table82[[#Headers],[Count]])</f>
        <v>7</v>
      </c>
      <c r="C12" s="2" t="s">
        <v>80</v>
      </c>
      <c r="D12" s="5" t="s">
        <v>1166</v>
      </c>
      <c r="E12" s="2" t="s">
        <v>18</v>
      </c>
      <c r="F12" s="2" t="s">
        <v>127</v>
      </c>
      <c r="Q12" s="2"/>
      <c r="R12" s="5"/>
    </row>
    <row r="13" spans="1:18" x14ac:dyDescent="0.25">
      <c r="A13" s="2" t="str">
        <f>"RAD"&amp;TEXT(Table82[[#This Row],[Count]],"000")&amp;"."&amp;IF(Table82[[#This Row],[Category]]="Essential","E",IF(Table82[[#This Row],[Category]]="Discretionary","D","O"))</f>
        <v>RAD008.D</v>
      </c>
      <c r="B13" s="2">
        <f>ROW()-ROW(Table82[[#Headers],[Count]])</f>
        <v>8</v>
      </c>
      <c r="C13" s="2" t="s">
        <v>80</v>
      </c>
      <c r="D13" s="5" t="s">
        <v>1167</v>
      </c>
      <c r="E13" s="2" t="s">
        <v>18</v>
      </c>
      <c r="F13" s="2" t="s">
        <v>127</v>
      </c>
      <c r="Q13" s="2"/>
      <c r="R13" s="5"/>
    </row>
    <row r="14" spans="1:18" ht="30" x14ac:dyDescent="0.25">
      <c r="A14" s="2" t="str">
        <f>"RAD"&amp;TEXT(Table82[[#This Row],[Count]],"000")&amp;"."&amp;IF(Table82[[#This Row],[Category]]="Essential","E",IF(Table82[[#This Row],[Category]]="Discretionary","D","O"))</f>
        <v>RAD009.D</v>
      </c>
      <c r="B14" s="2">
        <f>ROW()-ROW(Table82[[#Headers],[Count]])</f>
        <v>9</v>
      </c>
      <c r="C14" s="2" t="s">
        <v>80</v>
      </c>
      <c r="D14" s="5" t="s">
        <v>1168</v>
      </c>
      <c r="E14" s="2" t="s">
        <v>18</v>
      </c>
      <c r="F14" s="2" t="s">
        <v>127</v>
      </c>
      <c r="Q14" s="2"/>
      <c r="R14" s="5"/>
    </row>
    <row r="15" spans="1:18" ht="30" x14ac:dyDescent="0.25">
      <c r="A15" s="2" t="str">
        <f>"RAD"&amp;TEXT(Table82[[#This Row],[Count]],"000")&amp;"."&amp;IF(Table82[[#This Row],[Category]]="Essential","E",IF(Table82[[#This Row],[Category]]="Discretionary","D","O"))</f>
        <v>RAD010.D</v>
      </c>
      <c r="B15" s="2">
        <f>ROW()-ROW(Table82[[#Headers],[Count]])</f>
        <v>10</v>
      </c>
      <c r="C15" s="2" t="s">
        <v>80</v>
      </c>
      <c r="D15" s="5" t="s">
        <v>1169</v>
      </c>
      <c r="E15" s="2" t="s">
        <v>18</v>
      </c>
      <c r="F15" s="2" t="s">
        <v>127</v>
      </c>
      <c r="Q15" s="2"/>
      <c r="R15" s="5"/>
    </row>
    <row r="16" spans="1:18" ht="30" x14ac:dyDescent="0.25">
      <c r="A16" s="2" t="str">
        <f>"RAD"&amp;TEXT(Table82[[#This Row],[Count]],"000")&amp;"."&amp;IF(Table82[[#This Row],[Category]]="Essential","E",IF(Table82[[#This Row],[Category]]="Discretionary","D","O"))</f>
        <v>RAD011.D</v>
      </c>
      <c r="B16" s="2">
        <f>ROW()-ROW(Table82[[#Headers],[Count]])</f>
        <v>11</v>
      </c>
      <c r="C16" s="2" t="s">
        <v>80</v>
      </c>
      <c r="D16" s="5" t="s">
        <v>1170</v>
      </c>
      <c r="E16" s="2" t="s">
        <v>18</v>
      </c>
      <c r="M16" s="2" t="s">
        <v>675</v>
      </c>
      <c r="N16" s="2" t="s">
        <v>675</v>
      </c>
      <c r="Q16" s="2"/>
      <c r="R16" s="5"/>
    </row>
    <row r="17" spans="1:18" ht="30" x14ac:dyDescent="0.25">
      <c r="A17" s="2" t="str">
        <f>"RAD"&amp;TEXT(Table82[[#This Row],[Count]],"000")&amp;"."&amp;IF(Table82[[#This Row],[Category]]="Essential","E",IF(Table82[[#This Row],[Category]]="Discretionary","D","O"))</f>
        <v>RAD012.D</v>
      </c>
      <c r="B17" s="2">
        <f>ROW()-ROW(Table82[[#Headers],[Count]])</f>
        <v>12</v>
      </c>
      <c r="C17" s="2" t="s">
        <v>80</v>
      </c>
      <c r="D17" s="5" t="s">
        <v>1171</v>
      </c>
      <c r="E17" s="2" t="s">
        <v>18</v>
      </c>
      <c r="F17" s="2" t="s">
        <v>127</v>
      </c>
      <c r="Q17" s="2"/>
      <c r="R17" s="5"/>
    </row>
    <row r="18" spans="1:18" x14ac:dyDescent="0.25">
      <c r="A18" s="2" t="str">
        <f>"RAD"&amp;TEXT(Table82[[#This Row],[Count]],"000")&amp;"."&amp;IF(Table82[[#This Row],[Category]]="Essential","E",IF(Table82[[#This Row],[Category]]="Discretionary","D","O"))</f>
        <v>RAD013.D</v>
      </c>
      <c r="B18" s="2">
        <f>ROW()-ROW(Table82[[#Headers],[Count]])</f>
        <v>13</v>
      </c>
      <c r="C18" s="2" t="s">
        <v>80</v>
      </c>
      <c r="D18" s="5" t="s">
        <v>1172</v>
      </c>
      <c r="E18" s="2" t="s">
        <v>18</v>
      </c>
      <c r="M18" s="2" t="s">
        <v>127</v>
      </c>
      <c r="N18" s="2" t="s">
        <v>127</v>
      </c>
      <c r="Q18" s="2"/>
      <c r="R18" s="5"/>
    </row>
    <row r="19" spans="1:18" ht="30" x14ac:dyDescent="0.25">
      <c r="A19" s="2" t="str">
        <f>"RAD"&amp;TEXT(Table82[[#This Row],[Count]],"000")&amp;"."&amp;IF(Table82[[#This Row],[Category]]="Essential","E",IF(Table82[[#This Row],[Category]]="Discretionary","D","O"))</f>
        <v>RAD014.D</v>
      </c>
      <c r="B19" s="2">
        <f>ROW()-ROW(Table82[[#Headers],[Count]])</f>
        <v>14</v>
      </c>
      <c r="C19" s="2" t="s">
        <v>80</v>
      </c>
      <c r="D19" s="5" t="s">
        <v>1173</v>
      </c>
      <c r="E19" s="2" t="s">
        <v>18</v>
      </c>
      <c r="M19" s="2" t="s">
        <v>127</v>
      </c>
      <c r="N19" s="2" t="s">
        <v>127</v>
      </c>
      <c r="Q19" s="2"/>
      <c r="R19" s="5"/>
    </row>
    <row r="20" spans="1:18" x14ac:dyDescent="0.25">
      <c r="A20" s="2" t="str">
        <f>"RAD"&amp;TEXT(Table82[[#This Row],[Count]],"000")&amp;"."&amp;IF(Table82[[#This Row],[Category]]="Essential","E",IF(Table82[[#This Row],[Category]]="Discretionary","D","O"))</f>
        <v>RAD015.D</v>
      </c>
      <c r="B20" s="2">
        <f>ROW()-ROW(Table82[[#Headers],[Count]])</f>
        <v>15</v>
      </c>
      <c r="C20" s="2" t="s">
        <v>80</v>
      </c>
      <c r="D20" s="5" t="s">
        <v>1174</v>
      </c>
      <c r="E20" s="2" t="s">
        <v>18</v>
      </c>
      <c r="M20" s="2" t="s">
        <v>127</v>
      </c>
      <c r="N20" s="2" t="s">
        <v>127</v>
      </c>
      <c r="Q20" s="2"/>
      <c r="R20" s="5"/>
    </row>
    <row r="21" spans="1:18" ht="30" x14ac:dyDescent="0.25">
      <c r="A21" s="2" t="str">
        <f>"RAD"&amp;TEXT(Table82[[#This Row],[Count]],"000")&amp;"."&amp;IF(Table82[[#This Row],[Category]]="Essential","E",IF(Table82[[#This Row],[Category]]="Discretionary","D","O"))</f>
        <v>RAD016.D</v>
      </c>
      <c r="B21" s="2">
        <f>ROW()-ROW(Table82[[#Headers],[Count]])</f>
        <v>16</v>
      </c>
      <c r="C21" s="2" t="s">
        <v>80</v>
      </c>
      <c r="D21" s="5" t="s">
        <v>1175</v>
      </c>
      <c r="E21" s="2" t="s">
        <v>18</v>
      </c>
      <c r="F21" s="2" t="s">
        <v>675</v>
      </c>
      <c r="Q21" s="2"/>
      <c r="R21" s="5"/>
    </row>
    <row r="22" spans="1:18" ht="30" x14ac:dyDescent="0.25">
      <c r="A22" s="2" t="str">
        <f>"RAD"&amp;TEXT(Table82[[#This Row],[Count]],"000")&amp;"."&amp;IF(Table82[[#This Row],[Category]]="Essential","E",IF(Table82[[#This Row],[Category]]="Discretionary","D","O"))</f>
        <v>RAD017.D</v>
      </c>
      <c r="B22" s="2">
        <f>ROW()-ROW(Table82[[#Headers],[Count]])</f>
        <v>17</v>
      </c>
      <c r="C22" s="2" t="s">
        <v>80</v>
      </c>
      <c r="D22" s="5" t="s">
        <v>1176</v>
      </c>
      <c r="E22" s="2" t="s">
        <v>18</v>
      </c>
      <c r="F22" s="2" t="s">
        <v>127</v>
      </c>
      <c r="Q22" s="2"/>
      <c r="R22" s="5"/>
    </row>
    <row r="23" spans="1:18" ht="30" x14ac:dyDescent="0.25">
      <c r="A23" s="2" t="str">
        <f>"RAD"&amp;TEXT(Table82[[#This Row],[Count]],"000")&amp;"."&amp;IF(Table82[[#This Row],[Category]]="Essential","E",IF(Table82[[#This Row],[Category]]="Discretionary","D","O"))</f>
        <v>RAD018.D</v>
      </c>
      <c r="B23" s="2">
        <f>ROW()-ROW(Table82[[#Headers],[Count]])</f>
        <v>18</v>
      </c>
      <c r="C23" s="2" t="s">
        <v>80</v>
      </c>
      <c r="D23" s="5" t="s">
        <v>1177</v>
      </c>
      <c r="E23" s="2" t="s">
        <v>18</v>
      </c>
      <c r="M23" s="2" t="s">
        <v>127</v>
      </c>
      <c r="N23" s="2" t="s">
        <v>127</v>
      </c>
      <c r="Q23" s="2"/>
      <c r="R23" s="5"/>
    </row>
    <row r="24" spans="1:18" ht="30" x14ac:dyDescent="0.25">
      <c r="A24" s="2" t="str">
        <f>"RAD"&amp;TEXT(Table82[[#This Row],[Count]],"000")&amp;"."&amp;IF(Table82[[#This Row],[Category]]="Essential","E",IF(Table82[[#This Row],[Category]]="Discretionary","D","O"))</f>
        <v>RAD019.D</v>
      </c>
      <c r="B24" s="2">
        <f>ROW()-ROW(Table82[[#Headers],[Count]])</f>
        <v>19</v>
      </c>
      <c r="C24" s="2" t="s">
        <v>80</v>
      </c>
      <c r="D24" s="5" t="s">
        <v>1178</v>
      </c>
      <c r="E24" s="2" t="s">
        <v>18</v>
      </c>
      <c r="L24" s="2" t="s">
        <v>127</v>
      </c>
      <c r="M24" s="2" t="s">
        <v>127</v>
      </c>
      <c r="N24" s="2" t="s">
        <v>127</v>
      </c>
      <c r="Q24" s="2"/>
      <c r="R24" s="5"/>
    </row>
    <row r="25" spans="1:18" ht="30" x14ac:dyDescent="0.25">
      <c r="A25" s="2" t="str">
        <f>"RAD"&amp;TEXT(Table82[[#This Row],[Count]],"000")&amp;"."&amp;IF(Table82[[#This Row],[Category]]="Essential","E",IF(Table82[[#This Row],[Category]]="Discretionary","D","O"))</f>
        <v>RAD020.D</v>
      </c>
      <c r="B25" s="2">
        <f>ROW()-ROW(Table82[[#Headers],[Count]])</f>
        <v>20</v>
      </c>
      <c r="C25" s="2" t="s">
        <v>80</v>
      </c>
      <c r="D25" s="5" t="s">
        <v>1179</v>
      </c>
      <c r="E25" s="2" t="s">
        <v>18</v>
      </c>
      <c r="M25" s="2" t="s">
        <v>127</v>
      </c>
      <c r="N25" s="2" t="s">
        <v>127</v>
      </c>
      <c r="Q25" s="2"/>
      <c r="R25" s="5"/>
    </row>
    <row r="26" spans="1:18" ht="30" x14ac:dyDescent="0.25">
      <c r="A26" s="2" t="str">
        <f>"RAD"&amp;TEXT(Table82[[#This Row],[Count]],"000")&amp;"."&amp;IF(Table82[[#This Row],[Category]]="Essential","E",IF(Table82[[#This Row],[Category]]="Discretionary","D","O"))</f>
        <v>RAD021.D</v>
      </c>
      <c r="B26" s="2">
        <f>ROW()-ROW(Table82[[#Headers],[Count]])</f>
        <v>21</v>
      </c>
      <c r="C26" s="2" t="s">
        <v>80</v>
      </c>
      <c r="D26" s="5" t="s">
        <v>1180</v>
      </c>
      <c r="E26" s="2" t="s">
        <v>18</v>
      </c>
      <c r="M26" s="2" t="s">
        <v>127</v>
      </c>
      <c r="N26" s="2" t="s">
        <v>127</v>
      </c>
      <c r="Q26" s="2"/>
      <c r="R26" s="5"/>
    </row>
    <row r="27" spans="1:18" ht="30" x14ac:dyDescent="0.25">
      <c r="A27" s="2" t="str">
        <f>"RAD"&amp;TEXT(Table82[[#This Row],[Count]],"000")&amp;"."&amp;IF(Table82[[#This Row],[Category]]="Essential","E",IF(Table82[[#This Row],[Category]]="Discretionary","D","O"))</f>
        <v>RAD022.D</v>
      </c>
      <c r="B27" s="2">
        <f>ROW()-ROW(Table82[[#Headers],[Count]])</f>
        <v>22</v>
      </c>
      <c r="C27" s="2" t="s">
        <v>80</v>
      </c>
      <c r="D27" s="5" t="s">
        <v>1181</v>
      </c>
      <c r="E27" s="2" t="s">
        <v>18</v>
      </c>
      <c r="F27" s="2" t="s">
        <v>127</v>
      </c>
      <c r="Q27" s="2"/>
      <c r="R27" s="5"/>
    </row>
    <row r="28" spans="1:18" ht="30" x14ac:dyDescent="0.25">
      <c r="A28" s="2" t="str">
        <f>"RAD"&amp;TEXT(Table82[[#This Row],[Count]],"000")&amp;"."&amp;IF(Table82[[#This Row],[Category]]="Essential","E",IF(Table82[[#This Row],[Category]]="Discretionary","D","O"))</f>
        <v>RAD023.D</v>
      </c>
      <c r="B28" s="2">
        <f>ROW()-ROW(Table82[[#Headers],[Count]])</f>
        <v>23</v>
      </c>
      <c r="C28" s="2" t="s">
        <v>80</v>
      </c>
      <c r="D28" s="5" t="s">
        <v>1182</v>
      </c>
      <c r="E28" s="2" t="s">
        <v>18</v>
      </c>
      <c r="M28" s="2" t="s">
        <v>127</v>
      </c>
      <c r="N28" s="2" t="s">
        <v>127</v>
      </c>
      <c r="O28" s="2" t="s">
        <v>127</v>
      </c>
      <c r="Q28" s="2"/>
      <c r="R28" s="5"/>
    </row>
    <row r="29" spans="1:18" ht="30" x14ac:dyDescent="0.25">
      <c r="A29" s="2" t="str">
        <f>"RAD"&amp;TEXT(Table82[[#This Row],[Count]],"000")&amp;"."&amp;IF(Table82[[#This Row],[Category]]="Essential","E",IF(Table82[[#This Row],[Category]]="Discretionary","D","O"))</f>
        <v>RAD024.D</v>
      </c>
      <c r="B29" s="2">
        <f>ROW()-ROW(Table82[[#Headers],[Count]])</f>
        <v>24</v>
      </c>
      <c r="C29" s="2" t="s">
        <v>80</v>
      </c>
      <c r="D29" s="5" t="s">
        <v>1183</v>
      </c>
      <c r="E29" s="2" t="s">
        <v>18</v>
      </c>
      <c r="M29" s="2" t="s">
        <v>127</v>
      </c>
      <c r="N29" s="2" t="s">
        <v>127</v>
      </c>
      <c r="O29" s="2" t="s">
        <v>127</v>
      </c>
      <c r="Q29" s="2"/>
      <c r="R29" s="5"/>
    </row>
    <row r="30" spans="1:18" ht="30" x14ac:dyDescent="0.25">
      <c r="A30" s="2" t="str">
        <f>"RAD"&amp;TEXT(Table82[[#This Row],[Count]],"000")&amp;"."&amp;IF(Table82[[#This Row],[Category]]="Essential","E",IF(Table82[[#This Row],[Category]]="Discretionary","D","O"))</f>
        <v>RAD025.D</v>
      </c>
      <c r="B30" s="2">
        <f>ROW()-ROW(Table82[[#Headers],[Count]])</f>
        <v>25</v>
      </c>
      <c r="C30" s="2" t="s">
        <v>80</v>
      </c>
      <c r="D30" s="5" t="s">
        <v>1184</v>
      </c>
      <c r="E30" s="2" t="s">
        <v>18</v>
      </c>
      <c r="M30" s="2" t="s">
        <v>127</v>
      </c>
      <c r="N30" s="2" t="s">
        <v>127</v>
      </c>
      <c r="O30" s="2" t="s">
        <v>127</v>
      </c>
      <c r="Q30" s="2"/>
      <c r="R30" s="5"/>
    </row>
    <row r="31" spans="1:18" ht="30" x14ac:dyDescent="0.25">
      <c r="A31" s="2" t="str">
        <f>"RAD"&amp;TEXT(Table82[[#This Row],[Count]],"000")&amp;"."&amp;IF(Table82[[#This Row],[Category]]="Essential","E",IF(Table82[[#This Row],[Category]]="Discretionary","D","O"))</f>
        <v>RAD026.D</v>
      </c>
      <c r="B31" s="2">
        <f>ROW()-ROW(Table82[[#Headers],[Count]])</f>
        <v>26</v>
      </c>
      <c r="C31" s="2" t="s">
        <v>80</v>
      </c>
      <c r="D31" s="5" t="s">
        <v>1185</v>
      </c>
      <c r="E31" s="2" t="s">
        <v>18</v>
      </c>
      <c r="L31" s="2" t="s">
        <v>127</v>
      </c>
      <c r="M31" s="2" t="s">
        <v>127</v>
      </c>
      <c r="N31" s="2" t="s">
        <v>127</v>
      </c>
      <c r="Q31" s="2"/>
      <c r="R31" s="5"/>
    </row>
    <row r="32" spans="1:18" ht="30" x14ac:dyDescent="0.25">
      <c r="A32" s="2" t="str">
        <f>"RAD"&amp;TEXT(Table82[[#This Row],[Count]],"000")&amp;"."&amp;IF(Table82[[#This Row],[Category]]="Essential","E",IF(Table82[[#This Row],[Category]]="Discretionary","D","O"))</f>
        <v>RAD027.D</v>
      </c>
      <c r="B32" s="2">
        <f>ROW()-ROW(Table82[[#Headers],[Count]])</f>
        <v>27</v>
      </c>
      <c r="C32" s="2" t="s">
        <v>80</v>
      </c>
      <c r="D32" s="5" t="s">
        <v>1186</v>
      </c>
      <c r="E32" s="2" t="s">
        <v>18</v>
      </c>
      <c r="F32" s="2" t="s">
        <v>127</v>
      </c>
      <c r="Q32" s="2"/>
      <c r="R32" s="5"/>
    </row>
    <row r="33" spans="1:18" ht="30" x14ac:dyDescent="0.25">
      <c r="A33" s="2" t="str">
        <f>"RAD"&amp;TEXT(Table82[[#This Row],[Count]],"000")&amp;"."&amp;IF(Table82[[#This Row],[Category]]="Essential","E",IF(Table82[[#This Row],[Category]]="Discretionary","D","O"))</f>
        <v>RAD028.D</v>
      </c>
      <c r="B33" s="2">
        <f>ROW()-ROW(Table82[[#Headers],[Count]])</f>
        <v>28</v>
      </c>
      <c r="C33" s="2" t="s">
        <v>80</v>
      </c>
      <c r="D33" s="5" t="s">
        <v>1187</v>
      </c>
      <c r="E33" s="2" t="s">
        <v>18</v>
      </c>
      <c r="F33" s="2" t="s">
        <v>127</v>
      </c>
      <c r="Q33" s="2"/>
      <c r="R33" s="5"/>
    </row>
    <row r="34" spans="1:18" ht="30" x14ac:dyDescent="0.25">
      <c r="A34" s="2" t="str">
        <f>"RAD"&amp;TEXT(Table82[[#This Row],[Count]],"000")&amp;"."&amp;IF(Table82[[#This Row],[Category]]="Essential","E",IF(Table82[[#This Row],[Category]]="Discretionary","D","O"))</f>
        <v>RAD029.D</v>
      </c>
      <c r="B34" s="2">
        <f>ROW()-ROW(Table82[[#Headers],[Count]])</f>
        <v>29</v>
      </c>
      <c r="C34" s="2" t="s">
        <v>80</v>
      </c>
      <c r="D34" s="5" t="s">
        <v>1188</v>
      </c>
      <c r="E34" s="2" t="s">
        <v>18</v>
      </c>
      <c r="L34" s="2" t="s">
        <v>127</v>
      </c>
      <c r="M34" s="2" t="s">
        <v>127</v>
      </c>
      <c r="N34" s="2" t="s">
        <v>127</v>
      </c>
      <c r="O34" s="2" t="s">
        <v>127</v>
      </c>
      <c r="Q34" s="2"/>
      <c r="R34" s="5"/>
    </row>
    <row r="35" spans="1:18" ht="30" x14ac:dyDescent="0.25">
      <c r="A35" s="2" t="str">
        <f>"RAD"&amp;TEXT(Table82[[#This Row],[Count]],"000")&amp;"."&amp;IF(Table82[[#This Row],[Category]]="Essential","E",IF(Table82[[#This Row],[Category]]="Discretionary","D","O"))</f>
        <v>RAD030.D</v>
      </c>
      <c r="B35" s="2">
        <f>ROW()-ROW(Table82[[#Headers],[Count]])</f>
        <v>30</v>
      </c>
      <c r="C35" s="2" t="s">
        <v>80</v>
      </c>
      <c r="D35" s="5" t="s">
        <v>1189</v>
      </c>
      <c r="E35" s="2" t="s">
        <v>18</v>
      </c>
      <c r="M35" s="2" t="s">
        <v>127</v>
      </c>
      <c r="N35" s="2" t="s">
        <v>127</v>
      </c>
      <c r="O35" s="2" t="s">
        <v>127</v>
      </c>
      <c r="Q35" s="2"/>
      <c r="R35" s="5"/>
    </row>
    <row r="36" spans="1:18" ht="30" x14ac:dyDescent="0.25">
      <c r="A36" s="2" t="str">
        <f>"RAD"&amp;TEXT(Table82[[#This Row],[Count]],"000")&amp;"."&amp;IF(Table82[[#This Row],[Category]]="Essential","E",IF(Table82[[#This Row],[Category]]="Discretionary","D","O"))</f>
        <v>RAD031.D</v>
      </c>
      <c r="B36" s="2">
        <f>ROW()-ROW(Table82[[#Headers],[Count]])</f>
        <v>31</v>
      </c>
      <c r="C36" s="2" t="s">
        <v>80</v>
      </c>
      <c r="D36" s="5" t="s">
        <v>1190</v>
      </c>
      <c r="E36" s="2" t="s">
        <v>18</v>
      </c>
      <c r="M36" s="2" t="s">
        <v>127</v>
      </c>
      <c r="N36" s="2" t="s">
        <v>127</v>
      </c>
      <c r="O36" s="2" t="s">
        <v>127</v>
      </c>
      <c r="Q36" s="2"/>
      <c r="R36" s="5"/>
    </row>
    <row r="37" spans="1:18" ht="30" x14ac:dyDescent="0.25">
      <c r="A37" s="2" t="str">
        <f>"RAD"&amp;TEXT(Table82[[#This Row],[Count]],"000")&amp;"."&amp;IF(Table82[[#This Row],[Category]]="Essential","E",IF(Table82[[#This Row],[Category]]="Discretionary","D","O"))</f>
        <v>RAD032.D</v>
      </c>
      <c r="B37" s="2">
        <f>ROW()-ROW(Table82[[#Headers],[Count]])</f>
        <v>32</v>
      </c>
      <c r="C37" s="2" t="s">
        <v>80</v>
      </c>
      <c r="D37" s="5" t="s">
        <v>1191</v>
      </c>
      <c r="E37" s="2" t="s">
        <v>18</v>
      </c>
      <c r="L37" s="2" t="s">
        <v>127</v>
      </c>
      <c r="M37" s="2" t="s">
        <v>127</v>
      </c>
      <c r="N37" s="2" t="s">
        <v>127</v>
      </c>
      <c r="O37" s="2" t="s">
        <v>127</v>
      </c>
      <c r="Q37" s="2"/>
      <c r="R37" s="5"/>
    </row>
    <row r="38" spans="1:18" ht="30" x14ac:dyDescent="0.25">
      <c r="A38" s="2" t="str">
        <f>"RAD"&amp;TEXT(Table82[[#This Row],[Count]],"000")&amp;"."&amp;IF(Table82[[#This Row],[Category]]="Essential","E",IF(Table82[[#This Row],[Category]]="Discretionary","D","O"))</f>
        <v>RAD033.D</v>
      </c>
      <c r="B38" s="2">
        <f>ROW()-ROW(Table82[[#Headers],[Count]])</f>
        <v>33</v>
      </c>
      <c r="C38" s="2" t="s">
        <v>80</v>
      </c>
      <c r="D38" s="5" t="s">
        <v>1192</v>
      </c>
      <c r="E38" s="2" t="s">
        <v>18</v>
      </c>
      <c r="L38" s="2" t="s">
        <v>127</v>
      </c>
      <c r="M38" s="2" t="s">
        <v>127</v>
      </c>
      <c r="N38" s="2" t="s">
        <v>127</v>
      </c>
      <c r="Q38" s="2"/>
      <c r="R38" s="5"/>
    </row>
    <row r="39" spans="1:18" ht="30" x14ac:dyDescent="0.25">
      <c r="A39" s="2" t="str">
        <f>"RAD"&amp;TEXT(Table82[[#This Row],[Count]],"000")&amp;"."&amp;IF(Table82[[#This Row],[Category]]="Essential","E",IF(Table82[[#This Row],[Category]]="Discretionary","D","O"))</f>
        <v>RAD034.D</v>
      </c>
      <c r="B39" s="2">
        <f>ROW()-ROW(Table82[[#Headers],[Count]])</f>
        <v>34</v>
      </c>
      <c r="C39" s="2" t="s">
        <v>80</v>
      </c>
      <c r="D39" s="5" t="s">
        <v>1193</v>
      </c>
      <c r="E39" s="2" t="s">
        <v>18</v>
      </c>
      <c r="F39" s="2" t="s">
        <v>127</v>
      </c>
      <c r="Q39" s="2"/>
      <c r="R39" s="5"/>
    </row>
    <row r="40" spans="1:18" x14ac:dyDescent="0.25">
      <c r="A40" s="2" t="str">
        <f>"RAD"&amp;TEXT(Table82[[#This Row],[Count]],"000")&amp;"."&amp;IF(Table82[[#This Row],[Category]]="Essential","E",IF(Table82[[#This Row],[Category]]="Discretionary","D","O"))</f>
        <v>RAD035.D</v>
      </c>
      <c r="B40" s="2">
        <f>ROW()-ROW(Table82[[#Headers],[Count]])</f>
        <v>35</v>
      </c>
      <c r="C40" s="2" t="s">
        <v>80</v>
      </c>
      <c r="D40" s="5" t="s">
        <v>1194</v>
      </c>
      <c r="E40" s="2" t="s">
        <v>18</v>
      </c>
      <c r="L40" s="2" t="s">
        <v>127</v>
      </c>
      <c r="M40" s="2" t="s">
        <v>127</v>
      </c>
      <c r="N40" s="2" t="s">
        <v>127</v>
      </c>
      <c r="Q40" s="2"/>
      <c r="R40" s="5"/>
    </row>
    <row r="41" spans="1:18" x14ac:dyDescent="0.25">
      <c r="A41" s="2" t="str">
        <f>"RAD"&amp;TEXT(Table82[[#This Row],[Count]],"000")&amp;"."&amp;IF(Table82[[#This Row],[Category]]="Essential","E",IF(Table82[[#This Row],[Category]]="Discretionary","D","O"))</f>
        <v>RAD036.D</v>
      </c>
      <c r="B41" s="2">
        <f>ROW()-ROW(Table82[[#Headers],[Count]])</f>
        <v>36</v>
      </c>
      <c r="C41" s="2" t="s">
        <v>80</v>
      </c>
      <c r="D41" s="5" t="s">
        <v>1195</v>
      </c>
      <c r="E41" s="2" t="s">
        <v>18</v>
      </c>
      <c r="M41" s="2" t="s">
        <v>127</v>
      </c>
      <c r="N41" s="2" t="s">
        <v>127</v>
      </c>
      <c r="Q41" s="2"/>
      <c r="R41" s="5"/>
    </row>
    <row r="42" spans="1:18" ht="30" x14ac:dyDescent="0.25">
      <c r="A42" s="2" t="str">
        <f>"RAD"&amp;TEXT(Table82[[#This Row],[Count]],"000")&amp;"."&amp;IF(Table82[[#This Row],[Category]]="Essential","E",IF(Table82[[#This Row],[Category]]="Discretionary","D","O"))</f>
        <v>RAD037.D</v>
      </c>
      <c r="B42" s="2">
        <f>ROW()-ROW(Table82[[#Headers],[Count]])</f>
        <v>37</v>
      </c>
      <c r="C42" s="2" t="s">
        <v>80</v>
      </c>
      <c r="D42" s="5" t="s">
        <v>1196</v>
      </c>
      <c r="E42" s="2" t="s">
        <v>18</v>
      </c>
      <c r="M42" s="2" t="s">
        <v>127</v>
      </c>
      <c r="N42" s="2" t="s">
        <v>127</v>
      </c>
      <c r="Q42" s="2"/>
      <c r="R42" s="5"/>
    </row>
    <row r="43" spans="1:18" ht="30" x14ac:dyDescent="0.25">
      <c r="A43" s="2" t="str">
        <f>"RAD"&amp;TEXT(Table82[[#This Row],[Count]],"000")&amp;"."&amp;IF(Table82[[#This Row],[Category]]="Essential","E",IF(Table82[[#This Row],[Category]]="Discretionary","D","O"))</f>
        <v>RAD038.D</v>
      </c>
      <c r="B43" s="2">
        <f>ROW()-ROW(Table82[[#Headers],[Count]])</f>
        <v>38</v>
      </c>
      <c r="C43" s="2" t="s">
        <v>80</v>
      </c>
      <c r="D43" s="5" t="s">
        <v>1197</v>
      </c>
      <c r="E43" s="2" t="s">
        <v>18</v>
      </c>
      <c r="F43" s="2" t="s">
        <v>127</v>
      </c>
      <c r="Q43" s="2"/>
      <c r="R43" s="5"/>
    </row>
    <row r="44" spans="1:18" ht="45" x14ac:dyDescent="0.25">
      <c r="A44" s="2" t="str">
        <f>"RAD"&amp;TEXT(Table82[[#This Row],[Count]],"000")&amp;"."&amp;IF(Table82[[#This Row],[Category]]="Essential","E",IF(Table82[[#This Row],[Category]]="Discretionary","D","O"))</f>
        <v>RAD039.D</v>
      </c>
      <c r="B44" s="2">
        <f>ROW()-ROW(Table82[[#Headers],[Count]])</f>
        <v>39</v>
      </c>
      <c r="C44" s="2" t="s">
        <v>80</v>
      </c>
      <c r="D44" s="5" t="s">
        <v>1198</v>
      </c>
      <c r="E44" s="2" t="s">
        <v>18</v>
      </c>
      <c r="K44" s="2" t="s">
        <v>127</v>
      </c>
      <c r="L44" s="2" t="s">
        <v>127</v>
      </c>
      <c r="M44" s="2" t="s">
        <v>127</v>
      </c>
      <c r="N44" s="2" t="s">
        <v>127</v>
      </c>
      <c r="Q44" s="2"/>
      <c r="R44" s="5"/>
    </row>
    <row r="45" spans="1:18" ht="45" x14ac:dyDescent="0.25">
      <c r="A45" s="2" t="str">
        <f>"RAD"&amp;TEXT(Table82[[#This Row],[Count]],"000")&amp;"."&amp;IF(Table82[[#This Row],[Category]]="Essential","E",IF(Table82[[#This Row],[Category]]="Discretionary","D","O"))</f>
        <v>RAD040.D</v>
      </c>
      <c r="B45" s="2">
        <f>ROW()-ROW(Table82[[#Headers],[Count]])</f>
        <v>40</v>
      </c>
      <c r="C45" s="2" t="s">
        <v>80</v>
      </c>
      <c r="D45" s="5" t="s">
        <v>1199</v>
      </c>
      <c r="E45" s="2" t="s">
        <v>18</v>
      </c>
      <c r="M45" s="2" t="s">
        <v>127</v>
      </c>
      <c r="N45" s="2" t="s">
        <v>127</v>
      </c>
      <c r="Q45" s="2"/>
      <c r="R45" s="5"/>
    </row>
    <row r="46" spans="1:18" ht="45" x14ac:dyDescent="0.25">
      <c r="A46" s="2" t="str">
        <f>"RAD"&amp;TEXT(Table82[[#This Row],[Count]],"000")&amp;"."&amp;IF(Table82[[#This Row],[Category]]="Essential","E",IF(Table82[[#This Row],[Category]]="Discretionary","D","O"))</f>
        <v>RAD041.D</v>
      </c>
      <c r="B46" s="2">
        <f>ROW()-ROW(Table82[[#Headers],[Count]])</f>
        <v>41</v>
      </c>
      <c r="C46" s="2" t="s">
        <v>80</v>
      </c>
      <c r="D46" s="5" t="s">
        <v>1200</v>
      </c>
      <c r="E46" s="2" t="s">
        <v>18</v>
      </c>
      <c r="F46" s="2" t="s">
        <v>127</v>
      </c>
      <c r="Q46" s="2"/>
      <c r="R46" s="5"/>
    </row>
    <row r="47" spans="1:18" ht="45" x14ac:dyDescent="0.25">
      <c r="A47" s="2" t="str">
        <f>"RAD"&amp;TEXT(Table82[[#This Row],[Count]],"000")&amp;"."&amp;IF(Table82[[#This Row],[Category]]="Essential","E",IF(Table82[[#This Row],[Category]]="Discretionary","D","O"))</f>
        <v>RAD042.O</v>
      </c>
      <c r="B47" s="2">
        <f>ROW()-ROW(Table82[[#Headers],[Count]])</f>
        <v>42</v>
      </c>
      <c r="C47" s="2" t="s">
        <v>80</v>
      </c>
      <c r="D47" s="5" t="s">
        <v>1201</v>
      </c>
      <c r="E47" s="2" t="s">
        <v>23</v>
      </c>
      <c r="M47" s="2" t="s">
        <v>127</v>
      </c>
      <c r="N47" s="2" t="s">
        <v>127</v>
      </c>
      <c r="Q47" s="2"/>
      <c r="R47" s="5" t="s">
        <v>1162</v>
      </c>
    </row>
    <row r="48" spans="1:18" ht="45" x14ac:dyDescent="0.25">
      <c r="A48" s="2" t="str">
        <f>"RAD"&amp;TEXT(Table82[[#This Row],[Count]],"000")&amp;"."&amp;IF(Table82[[#This Row],[Category]]="Essential","E",IF(Table82[[#This Row],[Category]]="Discretionary","D","O"))</f>
        <v>RAD043.D</v>
      </c>
      <c r="B48" s="2">
        <f>ROW()-ROW(Table82[[#Headers],[Count]])</f>
        <v>43</v>
      </c>
      <c r="C48" s="2" t="s">
        <v>80</v>
      </c>
      <c r="D48" s="5" t="s">
        <v>1202</v>
      </c>
      <c r="E48" s="2" t="s">
        <v>18</v>
      </c>
      <c r="M48" s="2" t="s">
        <v>127</v>
      </c>
      <c r="N48" s="2" t="s">
        <v>127</v>
      </c>
      <c r="O48" s="2" t="s">
        <v>127</v>
      </c>
      <c r="Q48" s="2"/>
      <c r="R48" s="5"/>
    </row>
    <row r="49" spans="1:18" ht="30" x14ac:dyDescent="0.25">
      <c r="A49" s="2" t="str">
        <f>"RAD"&amp;TEXT(Table82[[#This Row],[Count]],"000")&amp;"."&amp;IF(Table82[[#This Row],[Category]]="Essential","E",IF(Table82[[#This Row],[Category]]="Discretionary","D","O"))</f>
        <v>RAD044.D</v>
      </c>
      <c r="B49" s="2">
        <f>ROW()-ROW(Table82[[#Headers],[Count]])</f>
        <v>44</v>
      </c>
      <c r="C49" s="2" t="s">
        <v>80</v>
      </c>
      <c r="D49" s="5" t="s">
        <v>1203</v>
      </c>
      <c r="E49" s="2" t="s">
        <v>18</v>
      </c>
      <c r="F49" s="2" t="s">
        <v>127</v>
      </c>
      <c r="Q49" s="2"/>
      <c r="R49" s="5"/>
    </row>
    <row r="50" spans="1:18" ht="30" x14ac:dyDescent="0.25">
      <c r="A50" s="2" t="str">
        <f>"RAD"&amp;TEXT(Table82[[#This Row],[Count]],"000")&amp;"."&amp;IF(Table82[[#This Row],[Category]]="Essential","E",IF(Table82[[#This Row],[Category]]="Discretionary","D","O"))</f>
        <v>RAD045.D</v>
      </c>
      <c r="B50" s="2">
        <f>ROW()-ROW(Table82[[#Headers],[Count]])</f>
        <v>45</v>
      </c>
      <c r="C50" s="2" t="s">
        <v>80</v>
      </c>
      <c r="D50" s="5" t="s">
        <v>1204</v>
      </c>
      <c r="E50" s="2" t="s">
        <v>18</v>
      </c>
      <c r="M50" s="2" t="s">
        <v>127</v>
      </c>
      <c r="N50" s="2" t="s">
        <v>127</v>
      </c>
      <c r="Q50" s="2"/>
      <c r="R50" s="5"/>
    </row>
    <row r="51" spans="1:18" ht="45" x14ac:dyDescent="0.25">
      <c r="A51" s="2" t="str">
        <f>"RAD"&amp;TEXT(Table82[[#This Row],[Count]],"000")&amp;"."&amp;IF(Table82[[#This Row],[Category]]="Essential","E",IF(Table82[[#This Row],[Category]]="Discretionary","D","O"))</f>
        <v>RAD046.D</v>
      </c>
      <c r="B51" s="2">
        <f>ROW()-ROW(Table82[[#Headers],[Count]])</f>
        <v>46</v>
      </c>
      <c r="C51" s="2" t="s">
        <v>80</v>
      </c>
      <c r="D51" s="5" t="s">
        <v>1205</v>
      </c>
      <c r="E51" s="2" t="s">
        <v>18</v>
      </c>
      <c r="F51" s="2" t="s">
        <v>127</v>
      </c>
      <c r="Q51" s="2"/>
      <c r="R51" s="5"/>
    </row>
    <row r="52" spans="1:18" ht="30" x14ac:dyDescent="0.25">
      <c r="A52" s="2" t="str">
        <f>"RAD"&amp;TEXT(Table82[[#This Row],[Count]],"000")&amp;"."&amp;IF(Table82[[#This Row],[Category]]="Essential","E",IF(Table82[[#This Row],[Category]]="Discretionary","D","O"))</f>
        <v>RAD047.D</v>
      </c>
      <c r="B52" s="2">
        <f>ROW()-ROW(Table82[[#Headers],[Count]])</f>
        <v>47</v>
      </c>
      <c r="C52" s="2" t="s">
        <v>80</v>
      </c>
      <c r="D52" s="5" t="s">
        <v>1206</v>
      </c>
      <c r="E52" s="2" t="s">
        <v>18</v>
      </c>
      <c r="K52" s="2" t="s">
        <v>127</v>
      </c>
      <c r="L52" s="2" t="s">
        <v>127</v>
      </c>
      <c r="M52" s="2" t="s">
        <v>127</v>
      </c>
      <c r="N52" s="2" t="s">
        <v>127</v>
      </c>
      <c r="Q52" s="2"/>
      <c r="R52" s="5"/>
    </row>
    <row r="53" spans="1:18" ht="30" x14ac:dyDescent="0.25">
      <c r="A53" s="2" t="str">
        <f>"RAD"&amp;TEXT(Table82[[#This Row],[Count]],"000")&amp;"."&amp;IF(Table82[[#This Row],[Category]]="Essential","E",IF(Table82[[#This Row],[Category]]="Discretionary","D","O"))</f>
        <v>RAD048.D</v>
      </c>
      <c r="B53" s="2">
        <f>ROW()-ROW(Table82[[#Headers],[Count]])</f>
        <v>48</v>
      </c>
      <c r="C53" s="2" t="s">
        <v>80</v>
      </c>
      <c r="D53" s="5" t="s">
        <v>1207</v>
      </c>
      <c r="E53" s="2" t="s">
        <v>18</v>
      </c>
      <c r="M53" s="2" t="s">
        <v>675</v>
      </c>
      <c r="N53" s="2" t="s">
        <v>675</v>
      </c>
      <c r="Q53" s="2"/>
      <c r="R53" s="5"/>
    </row>
    <row r="54" spans="1:18" x14ac:dyDescent="0.25">
      <c r="A54" s="2" t="str">
        <f>"RAD"&amp;TEXT(Table82[[#This Row],[Count]],"000")&amp;"."&amp;IF(Table82[[#This Row],[Category]]="Essential","E",IF(Table82[[#This Row],[Category]]="Discretionary","D","O"))</f>
        <v>RAD049.D</v>
      </c>
      <c r="B54" s="2">
        <f>ROW()-ROW(Table82[[#Headers],[Count]])</f>
        <v>49</v>
      </c>
      <c r="C54" s="2" t="s">
        <v>80</v>
      </c>
      <c r="D54" s="5" t="s">
        <v>1208</v>
      </c>
      <c r="E54" s="2" t="s">
        <v>18</v>
      </c>
      <c r="F54" s="2" t="s">
        <v>127</v>
      </c>
      <c r="Q54" s="2"/>
      <c r="R54" s="5"/>
    </row>
    <row r="55" spans="1:18" x14ac:dyDescent="0.25">
      <c r="A55" s="2" t="str">
        <f>"RAD"&amp;TEXT(Table82[[#This Row],[Count]],"000")&amp;"."&amp;IF(Table82[[#This Row],[Category]]="Essential","E",IF(Table82[[#This Row],[Category]]="Discretionary","D","O"))</f>
        <v>RAD050.D</v>
      </c>
      <c r="B55" s="2">
        <f>ROW()-ROW(Table82[[#Headers],[Count]])</f>
        <v>50</v>
      </c>
      <c r="C55" s="2" t="s">
        <v>80</v>
      </c>
      <c r="D55" s="5" t="s">
        <v>1209</v>
      </c>
      <c r="E55" s="2" t="s">
        <v>18</v>
      </c>
      <c r="M55" s="2" t="s">
        <v>127</v>
      </c>
      <c r="N55" s="2" t="s">
        <v>127</v>
      </c>
      <c r="Q55" s="2"/>
      <c r="R55" s="5"/>
    </row>
    <row r="56" spans="1:18" x14ac:dyDescent="0.25">
      <c r="A56" s="2" t="str">
        <f>"RAD"&amp;TEXT(Table82[[#This Row],[Count]],"000")&amp;"."&amp;IF(Table82[[#This Row],[Category]]="Essential","E",IF(Table82[[#This Row],[Category]]="Discretionary","D","O"))</f>
        <v>RAD051.D</v>
      </c>
      <c r="B56" s="2">
        <f>ROW()-ROW(Table82[[#Headers],[Count]])</f>
        <v>51</v>
      </c>
      <c r="C56" s="2" t="s">
        <v>80</v>
      </c>
      <c r="D56" s="5" t="s">
        <v>1210</v>
      </c>
      <c r="E56" s="2" t="s">
        <v>18</v>
      </c>
      <c r="M56" s="2" t="s">
        <v>127</v>
      </c>
      <c r="N56" s="2" t="s">
        <v>127</v>
      </c>
      <c r="Q56" s="2"/>
      <c r="R56" s="5"/>
    </row>
    <row r="57" spans="1:18" ht="30" x14ac:dyDescent="0.25">
      <c r="A57" s="2" t="str">
        <f>"RAD"&amp;TEXT(Table82[[#This Row],[Count]],"000")&amp;"."&amp;IF(Table82[[#This Row],[Category]]="Essential","E",IF(Table82[[#This Row],[Category]]="Discretionary","D","O"))</f>
        <v>RAD052.D</v>
      </c>
      <c r="B57" s="2">
        <f>ROW()-ROW(Table82[[#Headers],[Count]])</f>
        <v>52</v>
      </c>
      <c r="C57" s="2" t="s">
        <v>80</v>
      </c>
      <c r="D57" s="5" t="s">
        <v>1211</v>
      </c>
      <c r="E57" s="2" t="s">
        <v>18</v>
      </c>
      <c r="F57" s="2" t="s">
        <v>127</v>
      </c>
      <c r="Q57" s="2"/>
      <c r="R57" s="5"/>
    </row>
    <row r="58" spans="1:18" ht="45" x14ac:dyDescent="0.25">
      <c r="A58" s="2" t="str">
        <f>"RAD"&amp;TEXT(Table82[[#This Row],[Count]],"000")&amp;"."&amp;IF(Table82[[#This Row],[Category]]="Essential","E",IF(Table82[[#This Row],[Category]]="Discretionary","D","O"))</f>
        <v>RAD053.O</v>
      </c>
      <c r="B58" s="2">
        <f>ROW()-ROW(Table82[[#Headers],[Count]])</f>
        <v>53</v>
      </c>
      <c r="C58" s="2" t="s">
        <v>80</v>
      </c>
      <c r="D58" s="5" t="s">
        <v>1212</v>
      </c>
      <c r="E58" s="2" t="s">
        <v>23</v>
      </c>
      <c r="M58" s="2" t="s">
        <v>127</v>
      </c>
      <c r="N58" s="2" t="s">
        <v>127</v>
      </c>
      <c r="O58" s="2" t="s">
        <v>127</v>
      </c>
      <c r="Q58" s="2"/>
      <c r="R58" s="5" t="s">
        <v>583</v>
      </c>
    </row>
    <row r="59" spans="1:18" x14ac:dyDescent="0.25">
      <c r="A59" s="2" t="str">
        <f>"RAD"&amp;TEXT(Table82[[#This Row],[Count]],"000")&amp;"."&amp;IF(Table82[[#This Row],[Category]]="Essential","E",IF(Table82[[#This Row],[Category]]="Discretionary","D","O"))</f>
        <v>RAD054.D</v>
      </c>
      <c r="B59" s="2">
        <f>ROW()-ROW(Table82[[#Headers],[Count]])</f>
        <v>54</v>
      </c>
      <c r="C59" s="2" t="s">
        <v>80</v>
      </c>
      <c r="D59" s="5" t="s">
        <v>1213</v>
      </c>
      <c r="E59" s="2" t="s">
        <v>18</v>
      </c>
      <c r="M59" s="2" t="s">
        <v>127</v>
      </c>
      <c r="N59" s="2" t="s">
        <v>127</v>
      </c>
      <c r="O59" s="2" t="s">
        <v>127</v>
      </c>
      <c r="Q59" s="2"/>
      <c r="R59" s="5"/>
    </row>
    <row r="60" spans="1:18" x14ac:dyDescent="0.25">
      <c r="A60" s="2" t="str">
        <f>"RAD"&amp;TEXT(Table82[[#This Row],[Count]],"000")&amp;"."&amp;IF(Table82[[#This Row],[Category]]="Essential","E",IF(Table82[[#This Row],[Category]]="Discretionary","D","O"))</f>
        <v>RAD055.D</v>
      </c>
      <c r="B60" s="2">
        <f>ROW()-ROW(Table82[[#Headers],[Count]])</f>
        <v>55</v>
      </c>
      <c r="C60" s="2" t="s">
        <v>80</v>
      </c>
      <c r="D60" s="5" t="s">
        <v>1214</v>
      </c>
      <c r="E60" s="2" t="s">
        <v>18</v>
      </c>
      <c r="M60" s="2" t="s">
        <v>675</v>
      </c>
      <c r="N60" s="2" t="s">
        <v>675</v>
      </c>
      <c r="Q60" s="2"/>
      <c r="R60" s="5"/>
    </row>
    <row r="61" spans="1:18" ht="30" x14ac:dyDescent="0.25">
      <c r="A61" s="2" t="str">
        <f>"RAD"&amp;TEXT(Table82[[#This Row],[Count]],"000")&amp;"."&amp;IF(Table82[[#This Row],[Category]]="Essential","E",IF(Table82[[#This Row],[Category]]="Discretionary","D","O"))</f>
        <v>RAD056.D</v>
      </c>
      <c r="B61" s="2">
        <f>ROW()-ROW(Table82[[#Headers],[Count]])</f>
        <v>56</v>
      </c>
      <c r="C61" s="2" t="s">
        <v>80</v>
      </c>
      <c r="D61" s="5" t="s">
        <v>1215</v>
      </c>
      <c r="E61" s="2" t="s">
        <v>18</v>
      </c>
      <c r="M61" s="2" t="s">
        <v>127</v>
      </c>
      <c r="N61" s="2" t="s">
        <v>127</v>
      </c>
      <c r="O61" s="2" t="s">
        <v>127</v>
      </c>
      <c r="Q61" s="2"/>
      <c r="R61" s="5"/>
    </row>
    <row r="62" spans="1:18" x14ac:dyDescent="0.25">
      <c r="A62" s="2" t="str">
        <f>"RAD"&amp;TEXT(Table82[[#This Row],[Count]],"000")&amp;"."&amp;IF(Table82[[#This Row],[Category]]="Essential","E",IF(Table82[[#This Row],[Category]]="Discretionary","D","O"))</f>
        <v>RAD057.D</v>
      </c>
      <c r="B62" s="2">
        <f>ROW()-ROW(Table82[[#Headers],[Count]])</f>
        <v>57</v>
      </c>
      <c r="C62" s="2" t="s">
        <v>80</v>
      </c>
      <c r="D62" s="5" t="s">
        <v>1216</v>
      </c>
      <c r="E62" s="2" t="s">
        <v>18</v>
      </c>
      <c r="F62" s="2" t="s">
        <v>127</v>
      </c>
      <c r="Q62" s="2"/>
      <c r="R62" s="5"/>
    </row>
    <row r="63" spans="1:18" x14ac:dyDescent="0.25">
      <c r="A63" s="2" t="str">
        <f>"RAD"&amp;TEXT(Table82[[#This Row],[Count]],"000")&amp;"."&amp;IF(Table82[[#This Row],[Category]]="Essential","E",IF(Table82[[#This Row],[Category]]="Discretionary","D","O"))</f>
        <v>RAD058.D</v>
      </c>
      <c r="B63" s="2">
        <f>ROW()-ROW(Table82[[#Headers],[Count]])</f>
        <v>58</v>
      </c>
      <c r="C63" s="2" t="s">
        <v>80</v>
      </c>
      <c r="D63" s="5" t="s">
        <v>1217</v>
      </c>
      <c r="E63" s="2" t="s">
        <v>18</v>
      </c>
      <c r="M63" s="2" t="s">
        <v>127</v>
      </c>
      <c r="N63" s="2" t="s">
        <v>127</v>
      </c>
      <c r="Q63" s="2"/>
      <c r="R63" s="5"/>
    </row>
    <row r="64" spans="1:18" x14ac:dyDescent="0.25">
      <c r="A64" s="2" t="str">
        <f>"RAD"&amp;TEXT(Table82[[#This Row],[Count]],"000")&amp;"."&amp;IF(Table82[[#This Row],[Category]]="Essential","E",IF(Table82[[#This Row],[Category]]="Discretionary","D","O"))</f>
        <v>RAD059.O</v>
      </c>
      <c r="B64" s="2">
        <f>ROW()-ROW(Table82[[#Headers],[Count]])</f>
        <v>59</v>
      </c>
      <c r="C64" s="2" t="s">
        <v>80</v>
      </c>
      <c r="D64" s="5" t="s">
        <v>1218</v>
      </c>
      <c r="E64" s="2" t="s">
        <v>23</v>
      </c>
      <c r="F64" s="2" t="s">
        <v>127</v>
      </c>
      <c r="Q64" s="2"/>
      <c r="R64" s="5" t="s">
        <v>1162</v>
      </c>
    </row>
    <row r="65" spans="1:18" x14ac:dyDescent="0.25">
      <c r="A65" s="2" t="str">
        <f>"RAD"&amp;TEXT(Table82[[#This Row],[Count]],"000")&amp;"."&amp;IF(Table82[[#This Row],[Category]]="Essential","E",IF(Table82[[#This Row],[Category]]="Discretionary","D","O"))</f>
        <v>RAD060.D</v>
      </c>
      <c r="B65" s="2">
        <f>ROW()-ROW(Table82[[#Headers],[Count]])</f>
        <v>60</v>
      </c>
      <c r="C65" s="2" t="s">
        <v>80</v>
      </c>
      <c r="D65" s="5" t="s">
        <v>1219</v>
      </c>
      <c r="E65" s="2" t="s">
        <v>18</v>
      </c>
      <c r="F65" s="2" t="s">
        <v>127</v>
      </c>
      <c r="Q65" s="2"/>
      <c r="R65" s="5"/>
    </row>
    <row r="66" spans="1:18" ht="30" x14ac:dyDescent="0.25">
      <c r="A66" s="2" t="str">
        <f>"RAD"&amp;TEXT(Table82[[#This Row],[Count]],"000")&amp;"."&amp;IF(Table82[[#This Row],[Category]]="Essential","E",IF(Table82[[#This Row],[Category]]="Discretionary","D","O"))</f>
        <v>RAD061.O</v>
      </c>
      <c r="B66" s="2">
        <f>ROW()-ROW(Table82[[#Headers],[Count]])</f>
        <v>61</v>
      </c>
      <c r="C66" s="2" t="s">
        <v>80</v>
      </c>
      <c r="D66" s="5" t="s">
        <v>1220</v>
      </c>
      <c r="E66" s="2" t="s">
        <v>23</v>
      </c>
      <c r="M66" s="2" t="s">
        <v>127</v>
      </c>
      <c r="N66" s="2" t="s">
        <v>127</v>
      </c>
      <c r="Q66" s="2"/>
      <c r="R66" s="5" t="s">
        <v>1221</v>
      </c>
    </row>
    <row r="67" spans="1:18" ht="30" x14ac:dyDescent="0.25">
      <c r="A67" s="2" t="str">
        <f>"RAD"&amp;TEXT(Table82[[#This Row],[Count]],"000")&amp;"."&amp;IF(Table82[[#This Row],[Category]]="Essential","E",IF(Table82[[#This Row],[Category]]="Discretionary","D","O"))</f>
        <v>RAD062.O</v>
      </c>
      <c r="B67" s="2">
        <f>ROW()-ROW(Table82[[#Headers],[Count]])</f>
        <v>62</v>
      </c>
      <c r="C67" s="2" t="s">
        <v>80</v>
      </c>
      <c r="D67" s="5" t="s">
        <v>1222</v>
      </c>
      <c r="E67" s="2" t="s">
        <v>23</v>
      </c>
      <c r="M67" s="2" t="s">
        <v>127</v>
      </c>
      <c r="N67" s="2" t="s">
        <v>127</v>
      </c>
      <c r="Q67" s="2"/>
      <c r="R67" s="5" t="s">
        <v>1221</v>
      </c>
    </row>
    <row r="68" spans="1:18" ht="30" x14ac:dyDescent="0.25">
      <c r="A68" s="2" t="str">
        <f>"RAD"&amp;TEXT(Table82[[#This Row],[Count]],"000")&amp;"."&amp;IF(Table82[[#This Row],[Category]]="Essential","E",IF(Table82[[#This Row],[Category]]="Discretionary","D","O"))</f>
        <v>RAD063.O</v>
      </c>
      <c r="B68" s="2">
        <f>ROW()-ROW(Table82[[#Headers],[Count]])</f>
        <v>63</v>
      </c>
      <c r="C68" s="2" t="s">
        <v>80</v>
      </c>
      <c r="D68" s="5" t="s">
        <v>1223</v>
      </c>
      <c r="E68" s="2" t="s">
        <v>23</v>
      </c>
      <c r="M68" s="2" t="s">
        <v>127</v>
      </c>
      <c r="N68" s="2" t="s">
        <v>127</v>
      </c>
      <c r="Q68" s="2"/>
      <c r="R68" s="5" t="s">
        <v>1221</v>
      </c>
    </row>
    <row r="69" spans="1:18" ht="30" x14ac:dyDescent="0.25">
      <c r="A69" s="2" t="str">
        <f>"RAD"&amp;TEXT(Table82[[#This Row],[Count]],"000")&amp;"."&amp;IF(Table82[[#This Row],[Category]]="Essential","E",IF(Table82[[#This Row],[Category]]="Discretionary","D","O"))</f>
        <v>RAD064.O</v>
      </c>
      <c r="B69" s="2">
        <f>ROW()-ROW(Table82[[#Headers],[Count]])</f>
        <v>64</v>
      </c>
      <c r="C69" s="2" t="s">
        <v>80</v>
      </c>
      <c r="D69" s="5" t="s">
        <v>1224</v>
      </c>
      <c r="E69" s="2" t="s">
        <v>23</v>
      </c>
      <c r="M69" s="2" t="s">
        <v>127</v>
      </c>
      <c r="N69" s="2" t="s">
        <v>127</v>
      </c>
      <c r="Q69" s="2"/>
      <c r="R69" s="5" t="s">
        <v>1221</v>
      </c>
    </row>
    <row r="70" spans="1:18" ht="30" x14ac:dyDescent="0.25">
      <c r="A70" s="2" t="str">
        <f>"RAD"&amp;TEXT(Table82[[#This Row],[Count]],"000")&amp;"."&amp;IF(Table82[[#This Row],[Category]]="Essential","E",IF(Table82[[#This Row],[Category]]="Discretionary","D","O"))</f>
        <v>RAD065.O</v>
      </c>
      <c r="B70" s="2">
        <f>ROW()-ROW(Table82[[#Headers],[Count]])</f>
        <v>65</v>
      </c>
      <c r="C70" s="2" t="s">
        <v>80</v>
      </c>
      <c r="D70" s="5" t="s">
        <v>1225</v>
      </c>
      <c r="E70" s="2" t="s">
        <v>23</v>
      </c>
      <c r="M70" s="2" t="s">
        <v>127</v>
      </c>
      <c r="N70" s="2" t="s">
        <v>127</v>
      </c>
      <c r="Q70" s="2"/>
      <c r="R70" s="5" t="s">
        <v>1221</v>
      </c>
    </row>
    <row r="71" spans="1:18" x14ac:dyDescent="0.25">
      <c r="A71" s="2" t="str">
        <f>"RAD"&amp;TEXT(Table82[[#This Row],[Count]],"000")&amp;"."&amp;IF(Table82[[#This Row],[Category]]="Essential","E",IF(Table82[[#This Row],[Category]]="Discretionary","D","O"))</f>
        <v>RAD066.D</v>
      </c>
      <c r="B71" s="2">
        <f>ROW()-ROW(Table82[[#Headers],[Count]])</f>
        <v>66</v>
      </c>
      <c r="C71" s="2" t="s">
        <v>80</v>
      </c>
      <c r="D71" s="5" t="s">
        <v>1226</v>
      </c>
      <c r="E71" s="2" t="s">
        <v>18</v>
      </c>
      <c r="M71" s="2" t="s">
        <v>127</v>
      </c>
      <c r="N71" s="2" t="s">
        <v>127</v>
      </c>
      <c r="Q71" s="2"/>
      <c r="R71" s="5"/>
    </row>
    <row r="72" spans="1:18" x14ac:dyDescent="0.25">
      <c r="A72" s="2" t="str">
        <f>"RAD"&amp;TEXT(Table82[[#This Row],[Count]],"000")&amp;"."&amp;IF(Table82[[#This Row],[Category]]="Essential","E",IF(Table82[[#This Row],[Category]]="Discretionary","D","O"))</f>
        <v>RAD067.O</v>
      </c>
      <c r="B72" s="2">
        <f>ROW()-ROW(Table82[[#Headers],[Count]])</f>
        <v>67</v>
      </c>
      <c r="C72" s="2" t="s">
        <v>80</v>
      </c>
      <c r="D72" s="5" t="s">
        <v>1227</v>
      </c>
      <c r="E72" s="2" t="s">
        <v>23</v>
      </c>
      <c r="M72" s="2" t="s">
        <v>675</v>
      </c>
      <c r="N72" s="2" t="s">
        <v>675</v>
      </c>
      <c r="Q72" s="2"/>
      <c r="R72" s="5"/>
    </row>
    <row r="73" spans="1:18" ht="30" x14ac:dyDescent="0.25">
      <c r="A73" s="2" t="str">
        <f>"RAD"&amp;TEXT(Table82[[#This Row],[Count]],"000")&amp;"."&amp;IF(Table82[[#This Row],[Category]]="Essential","E",IF(Table82[[#This Row],[Category]]="Discretionary","D","O"))</f>
        <v>RAD068.O</v>
      </c>
      <c r="B73" s="2">
        <f>ROW()-ROW(Table82[[#Headers],[Count]])</f>
        <v>68</v>
      </c>
      <c r="C73" s="2" t="s">
        <v>80</v>
      </c>
      <c r="D73" s="5" t="s">
        <v>1228</v>
      </c>
      <c r="E73" s="2" t="s">
        <v>23</v>
      </c>
      <c r="M73" s="2" t="s">
        <v>127</v>
      </c>
      <c r="N73" s="2" t="s">
        <v>127</v>
      </c>
      <c r="O73" s="2" t="s">
        <v>127</v>
      </c>
      <c r="Q73" s="2"/>
      <c r="R73" s="5" t="s">
        <v>983</v>
      </c>
    </row>
    <row r="74" spans="1:18" ht="30" x14ac:dyDescent="0.25">
      <c r="A74" s="2" t="str">
        <f>"RAD"&amp;TEXT(Table82[[#This Row],[Count]],"000")&amp;"."&amp;IF(Table82[[#This Row],[Category]]="Essential","E",IF(Table82[[#This Row],[Category]]="Discretionary","D","O"))</f>
        <v>RAD069.O</v>
      </c>
      <c r="B74" s="2">
        <f>ROW()-ROW(Table82[[#Headers],[Count]])</f>
        <v>69</v>
      </c>
      <c r="C74" s="2" t="s">
        <v>80</v>
      </c>
      <c r="D74" s="5" t="s">
        <v>1229</v>
      </c>
      <c r="E74" s="2" t="s">
        <v>23</v>
      </c>
      <c r="L74" s="2" t="s">
        <v>127</v>
      </c>
      <c r="M74" s="2" t="s">
        <v>127</v>
      </c>
      <c r="N74" s="2" t="s">
        <v>127</v>
      </c>
      <c r="Q74" s="2"/>
      <c r="R74" s="5" t="s">
        <v>983</v>
      </c>
    </row>
    <row r="75" spans="1:18" ht="30" x14ac:dyDescent="0.25">
      <c r="A75" s="2" t="str">
        <f>"RAD"&amp;TEXT(Table82[[#This Row],[Count]],"000")&amp;"."&amp;IF(Table82[[#This Row],[Category]]="Essential","E",IF(Table82[[#This Row],[Category]]="Discretionary","D","O"))</f>
        <v>RAD070.O</v>
      </c>
      <c r="B75" s="2">
        <f>ROW()-ROW(Table82[[#Headers],[Count]])</f>
        <v>70</v>
      </c>
      <c r="C75" s="2" t="s">
        <v>80</v>
      </c>
      <c r="D75" s="5" t="s">
        <v>1230</v>
      </c>
      <c r="E75" s="2" t="s">
        <v>23</v>
      </c>
      <c r="L75" s="2" t="s">
        <v>127</v>
      </c>
      <c r="M75" s="2" t="s">
        <v>127</v>
      </c>
      <c r="N75" s="2" t="s">
        <v>127</v>
      </c>
      <c r="Q75" s="2"/>
      <c r="R75" s="5" t="s">
        <v>983</v>
      </c>
    </row>
    <row r="76" spans="1:18" ht="30" x14ac:dyDescent="0.25">
      <c r="A76" s="2" t="str">
        <f>"RAD"&amp;TEXT(Table82[[#This Row],[Count]],"000")&amp;"."&amp;IF(Table82[[#This Row],[Category]]="Essential","E",IF(Table82[[#This Row],[Category]]="Discretionary","D","O"))</f>
        <v>RAD071.O</v>
      </c>
      <c r="B76" s="2">
        <f>ROW()-ROW(Table82[[#Headers],[Count]])</f>
        <v>71</v>
      </c>
      <c r="C76" s="2" t="s">
        <v>80</v>
      </c>
      <c r="D76" s="5" t="s">
        <v>1231</v>
      </c>
      <c r="E76" s="2" t="s">
        <v>23</v>
      </c>
      <c r="L76" s="2" t="s">
        <v>127</v>
      </c>
      <c r="M76" s="2" t="s">
        <v>127</v>
      </c>
      <c r="N76" s="2" t="s">
        <v>127</v>
      </c>
      <c r="Q76" s="2"/>
      <c r="R76" s="5" t="s">
        <v>983</v>
      </c>
    </row>
    <row r="77" spans="1:18" ht="30" x14ac:dyDescent="0.25">
      <c r="A77" s="2" t="str">
        <f>"RAD"&amp;TEXT(Table82[[#This Row],[Count]],"000")&amp;"."&amp;IF(Table82[[#This Row],[Category]]="Essential","E",IF(Table82[[#This Row],[Category]]="Discretionary","D","O"))</f>
        <v>RAD072.O</v>
      </c>
      <c r="B77" s="2">
        <f>ROW()-ROW(Table82[[#Headers],[Count]])</f>
        <v>72</v>
      </c>
      <c r="C77" s="2" t="s">
        <v>80</v>
      </c>
      <c r="D77" s="5" t="s">
        <v>1232</v>
      </c>
      <c r="E77" s="2" t="s">
        <v>23</v>
      </c>
      <c r="M77" s="2" t="s">
        <v>127</v>
      </c>
      <c r="N77" s="2" t="s">
        <v>127</v>
      </c>
      <c r="O77" s="2" t="s">
        <v>127</v>
      </c>
      <c r="Q77" s="2"/>
      <c r="R77" s="5" t="s">
        <v>983</v>
      </c>
    </row>
    <row r="78" spans="1:18" ht="30" x14ac:dyDescent="0.25">
      <c r="A78" s="2" t="str">
        <f>"RAD"&amp;TEXT(Table82[[#This Row],[Count]],"000")&amp;"."&amp;IF(Table82[[#This Row],[Category]]="Essential","E",IF(Table82[[#This Row],[Category]]="Discretionary","D","O"))</f>
        <v>RAD073.O</v>
      </c>
      <c r="B78" s="2">
        <f>ROW()-ROW(Table82[[#Headers],[Count]])</f>
        <v>73</v>
      </c>
      <c r="C78" s="2" t="s">
        <v>80</v>
      </c>
      <c r="D78" s="5" t="s">
        <v>1233</v>
      </c>
      <c r="E78" s="2" t="s">
        <v>23</v>
      </c>
      <c r="M78" s="2" t="s">
        <v>127</v>
      </c>
      <c r="N78" s="2" t="s">
        <v>127</v>
      </c>
      <c r="O78" s="2" t="s">
        <v>127</v>
      </c>
      <c r="Q78" s="2"/>
      <c r="R78" s="5" t="s">
        <v>983</v>
      </c>
    </row>
    <row r="79" spans="1:18" ht="30" x14ac:dyDescent="0.25">
      <c r="A79" s="2" t="str">
        <f>"RAD"&amp;TEXT(Table82[[#This Row],[Count]],"000")&amp;"."&amp;IF(Table82[[#This Row],[Category]]="Essential","E",IF(Table82[[#This Row],[Category]]="Discretionary","D","O"))</f>
        <v>RAD074.O</v>
      </c>
      <c r="B79" s="2">
        <f>ROW()-ROW(Table82[[#Headers],[Count]])</f>
        <v>74</v>
      </c>
      <c r="C79" s="2" t="s">
        <v>80</v>
      </c>
      <c r="D79" s="5" t="s">
        <v>1234</v>
      </c>
      <c r="E79" s="2" t="s">
        <v>23</v>
      </c>
      <c r="F79" s="2" t="s">
        <v>127</v>
      </c>
      <c r="Q79" s="2"/>
      <c r="R79" s="5" t="s">
        <v>983</v>
      </c>
    </row>
    <row r="80" spans="1:18" ht="30" x14ac:dyDescent="0.25">
      <c r="A80" s="2" t="str">
        <f>"RAD"&amp;TEXT(Table82[[#This Row],[Count]],"000")&amp;"."&amp;IF(Table82[[#This Row],[Category]]="Essential","E",IF(Table82[[#This Row],[Category]]="Discretionary","D","O"))</f>
        <v>RAD075.O</v>
      </c>
      <c r="B80" s="2">
        <f>ROW()-ROW(Table82[[#Headers],[Count]])</f>
        <v>75</v>
      </c>
      <c r="C80" s="2" t="s">
        <v>80</v>
      </c>
      <c r="D80" s="5" t="s">
        <v>1235</v>
      </c>
      <c r="E80" s="2" t="s">
        <v>23</v>
      </c>
      <c r="F80" s="2" t="s">
        <v>127</v>
      </c>
      <c r="Q80" s="2"/>
      <c r="R80" s="5" t="s">
        <v>983</v>
      </c>
    </row>
    <row r="81" spans="1:18" ht="30" x14ac:dyDescent="0.25">
      <c r="A81" s="2" t="str">
        <f>"RAD"&amp;TEXT(Table82[[#This Row],[Count]],"000")&amp;"."&amp;IF(Table82[[#This Row],[Category]]="Essential","E",IF(Table82[[#This Row],[Category]]="Discretionary","D","O"))</f>
        <v>RAD076.O</v>
      </c>
      <c r="B81" s="2">
        <f>ROW()-ROW(Table82[[#Headers],[Count]])</f>
        <v>76</v>
      </c>
      <c r="C81" s="2" t="s">
        <v>80</v>
      </c>
      <c r="D81" s="5" t="s">
        <v>1236</v>
      </c>
      <c r="E81" s="2" t="s">
        <v>23</v>
      </c>
      <c r="M81" s="2" t="s">
        <v>127</v>
      </c>
      <c r="N81" s="2" t="s">
        <v>127</v>
      </c>
      <c r="Q81" s="2"/>
      <c r="R81" s="5" t="s">
        <v>1237</v>
      </c>
    </row>
    <row r="82" spans="1:18" x14ac:dyDescent="0.25">
      <c r="A82" s="2" t="str">
        <f>"RAD"&amp;TEXT(Table82[[#This Row],[Count]],"000")&amp;"."&amp;IF(Table82[[#This Row],[Category]]="Essential","E",IF(Table82[[#This Row],[Category]]="Discretionary","D","O"))</f>
        <v>RAD077.D</v>
      </c>
      <c r="B82" s="2">
        <f>ROW()-ROW(Table82[[#Headers],[Count]])</f>
        <v>77</v>
      </c>
      <c r="C82" s="2" t="s">
        <v>80</v>
      </c>
      <c r="D82" s="5" t="s">
        <v>1238</v>
      </c>
      <c r="E82" s="2" t="s">
        <v>18</v>
      </c>
      <c r="M82" s="2" t="s">
        <v>127</v>
      </c>
      <c r="N82" s="2" t="s">
        <v>127</v>
      </c>
      <c r="Q82" s="2"/>
      <c r="R82" s="5"/>
    </row>
    <row r="83" spans="1:18" ht="30" x14ac:dyDescent="0.25">
      <c r="A83" s="2" t="str">
        <f>"RAD"&amp;TEXT(Table82[[#This Row],[Count]],"000")&amp;"."&amp;IF(Table82[[#This Row],[Category]]="Essential","E",IF(Table82[[#This Row],[Category]]="Discretionary","D","O"))</f>
        <v>RAD078.D</v>
      </c>
      <c r="B83" s="2">
        <f>ROW()-ROW(Table82[[#Headers],[Count]])</f>
        <v>78</v>
      </c>
      <c r="C83" s="2" t="s">
        <v>80</v>
      </c>
      <c r="D83" s="5" t="s">
        <v>1239</v>
      </c>
      <c r="E83" s="2" t="s">
        <v>18</v>
      </c>
      <c r="L83" s="2" t="s">
        <v>127</v>
      </c>
      <c r="M83" s="2" t="s">
        <v>127</v>
      </c>
      <c r="N83" s="2" t="s">
        <v>127</v>
      </c>
      <c r="Q83" s="2"/>
      <c r="R83" s="5"/>
    </row>
    <row r="84" spans="1:18" x14ac:dyDescent="0.25">
      <c r="A84" s="2" t="str">
        <f>"RAD"&amp;TEXT(Table82[[#This Row],[Count]],"000")&amp;"."&amp;IF(Table82[[#This Row],[Category]]="Essential","E",IF(Table82[[#This Row],[Category]]="Discretionary","D","O"))</f>
        <v>RAD079.D</v>
      </c>
      <c r="B84" s="2">
        <f>ROW()-ROW(Table82[[#Headers],[Count]])</f>
        <v>79</v>
      </c>
      <c r="C84" s="2" t="s">
        <v>80</v>
      </c>
      <c r="D84" s="5" t="s">
        <v>1240</v>
      </c>
      <c r="E84" s="2" t="s">
        <v>18</v>
      </c>
      <c r="M84" s="2" t="s">
        <v>127</v>
      </c>
      <c r="N84" s="2" t="s">
        <v>127</v>
      </c>
      <c r="Q84" s="2"/>
      <c r="R84" s="5"/>
    </row>
    <row r="85" spans="1:18" x14ac:dyDescent="0.25">
      <c r="A85" s="2" t="str">
        <f>"RAD"&amp;TEXT(Table82[[#This Row],[Count]],"000")&amp;"."&amp;IF(Table82[[#This Row],[Category]]="Essential","E",IF(Table82[[#This Row],[Category]]="Discretionary","D","O"))</f>
        <v>RAD080.D</v>
      </c>
      <c r="B85" s="2">
        <f>ROW()-ROW(Table82[[#Headers],[Count]])</f>
        <v>80</v>
      </c>
      <c r="C85" s="2" t="s">
        <v>80</v>
      </c>
      <c r="D85" s="5" t="s">
        <v>1241</v>
      </c>
      <c r="E85" s="2" t="s">
        <v>18</v>
      </c>
      <c r="F85" s="2" t="s">
        <v>127</v>
      </c>
      <c r="Q85" s="2"/>
      <c r="R85" s="5"/>
    </row>
    <row r="86" spans="1:18" ht="30" x14ac:dyDescent="0.25">
      <c r="A86" s="2" t="str">
        <f>"RAD"&amp;TEXT(Table82[[#This Row],[Count]],"000")&amp;"."&amp;IF(Table82[[#This Row],[Category]]="Essential","E",IF(Table82[[#This Row],[Category]]="Discretionary","D","O"))</f>
        <v>RAD081.O</v>
      </c>
      <c r="B86" s="2">
        <f>ROW()-ROW(Table82[[#Headers],[Count]])</f>
        <v>81</v>
      </c>
      <c r="C86" s="2" t="s">
        <v>80</v>
      </c>
      <c r="D86" s="5" t="s">
        <v>1242</v>
      </c>
      <c r="E86" s="2" t="s">
        <v>23</v>
      </c>
      <c r="L86" s="2" t="s">
        <v>127</v>
      </c>
      <c r="M86" s="2" t="s">
        <v>127</v>
      </c>
      <c r="N86" s="2" t="s">
        <v>127</v>
      </c>
      <c r="Q86" s="2"/>
      <c r="R86" s="5" t="s">
        <v>1221</v>
      </c>
    </row>
    <row r="87" spans="1:18" x14ac:dyDescent="0.25">
      <c r="A87" s="2" t="str">
        <f>"RAD"&amp;TEXT(Table82[[#This Row],[Count]],"000")&amp;"."&amp;IF(Table82[[#This Row],[Category]]="Essential","E",IF(Table82[[#This Row],[Category]]="Discretionary","D","O"))</f>
        <v>RAD082.D</v>
      </c>
      <c r="B87" s="2">
        <f>ROW()-ROW(Table82[[#Headers],[Count]])</f>
        <v>82</v>
      </c>
      <c r="C87" s="2" t="s">
        <v>80</v>
      </c>
      <c r="D87" s="5" t="s">
        <v>1243</v>
      </c>
      <c r="E87" s="2" t="s">
        <v>18</v>
      </c>
      <c r="F87" s="2" t="s">
        <v>127</v>
      </c>
      <c r="Q87" s="2"/>
      <c r="R87" s="5"/>
    </row>
    <row r="88" spans="1:18" x14ac:dyDescent="0.25">
      <c r="A88" s="2" t="str">
        <f>"RAD"&amp;TEXT(Table82[[#This Row],[Count]],"000")&amp;"."&amp;IF(Table82[[#This Row],[Category]]="Essential","E",IF(Table82[[#This Row],[Category]]="Discretionary","D","O"))</f>
        <v>RAD083.O</v>
      </c>
      <c r="B88" s="2">
        <f>ROW()-ROW(Table82[[#Headers],[Count]])</f>
        <v>83</v>
      </c>
      <c r="C88" s="2" t="s">
        <v>80</v>
      </c>
      <c r="D88" s="5" t="s">
        <v>1244</v>
      </c>
      <c r="E88" s="2" t="s">
        <v>23</v>
      </c>
      <c r="M88" s="2" t="s">
        <v>127</v>
      </c>
      <c r="N88" s="2" t="s">
        <v>127</v>
      </c>
      <c r="Q88" s="2"/>
      <c r="R88" s="5" t="s">
        <v>1162</v>
      </c>
    </row>
    <row r="89" spans="1:18" x14ac:dyDescent="0.25">
      <c r="A89" s="2" t="str">
        <f>"RAD"&amp;TEXT(Table82[[#This Row],[Count]],"000")&amp;"."&amp;IF(Table82[[#This Row],[Category]]="Essential","E",IF(Table82[[#This Row],[Category]]="Discretionary","D","O"))</f>
        <v>RAD084.D</v>
      </c>
      <c r="B89" s="2">
        <f>ROW()-ROW(Table82[[#Headers],[Count]])</f>
        <v>84</v>
      </c>
      <c r="C89" s="2" t="s">
        <v>80</v>
      </c>
      <c r="D89" s="5" t="s">
        <v>1245</v>
      </c>
      <c r="E89" s="2" t="s">
        <v>18</v>
      </c>
      <c r="F89" s="2" t="s">
        <v>127</v>
      </c>
      <c r="Q89" s="2"/>
      <c r="R89" s="5"/>
    </row>
    <row r="90" spans="1:18" ht="45" x14ac:dyDescent="0.25">
      <c r="A90" s="2" t="str">
        <f>"RAD"&amp;TEXT(Table82[[#This Row],[Count]],"000")&amp;"."&amp;IF(Table82[[#This Row],[Category]]="Essential","E",IF(Table82[[#This Row],[Category]]="Discretionary","D","O"))</f>
        <v>RAD085.D</v>
      </c>
      <c r="B90" s="2">
        <f>ROW()-ROW(Table82[[#Headers],[Count]])</f>
        <v>85</v>
      </c>
      <c r="C90" s="2" t="s">
        <v>80</v>
      </c>
      <c r="D90" s="5" t="s">
        <v>1246</v>
      </c>
      <c r="E90" s="2" t="s">
        <v>18</v>
      </c>
      <c r="F90" s="2" t="s">
        <v>127</v>
      </c>
      <c r="Q90" s="2"/>
      <c r="R90" s="5"/>
    </row>
    <row r="91" spans="1:18" x14ac:dyDescent="0.25">
      <c r="A91" s="2" t="str">
        <f>"RAD"&amp;TEXT(Table82[[#This Row],[Count]],"000")&amp;"."&amp;IF(Table82[[#This Row],[Category]]="Essential","E",IF(Table82[[#This Row],[Category]]="Discretionary","D","O"))</f>
        <v>RAD086.D</v>
      </c>
      <c r="B91" s="2">
        <f>ROW()-ROW(Table82[[#Headers],[Count]])</f>
        <v>86</v>
      </c>
      <c r="C91" s="2" t="s">
        <v>80</v>
      </c>
      <c r="D91" s="5" t="s">
        <v>1247</v>
      </c>
      <c r="E91" s="2" t="s">
        <v>18</v>
      </c>
      <c r="M91" s="2" t="s">
        <v>127</v>
      </c>
      <c r="N91" s="2" t="s">
        <v>127</v>
      </c>
      <c r="Q91" s="2"/>
      <c r="R91" s="5"/>
    </row>
    <row r="92" spans="1:18" x14ac:dyDescent="0.25">
      <c r="A92" s="2" t="str">
        <f>"RAD"&amp;TEXT(Table82[[#This Row],[Count]],"000")&amp;"."&amp;IF(Table82[[#This Row],[Category]]="Essential","E",IF(Table82[[#This Row],[Category]]="Discretionary","D","O"))</f>
        <v>RAD087.D</v>
      </c>
      <c r="B92" s="2">
        <f>ROW()-ROW(Table82[[#Headers],[Count]])</f>
        <v>87</v>
      </c>
      <c r="C92" s="2" t="s">
        <v>80</v>
      </c>
      <c r="D92" s="5" t="s">
        <v>1248</v>
      </c>
      <c r="E92" s="2" t="s">
        <v>18</v>
      </c>
      <c r="K92" s="2" t="s">
        <v>127</v>
      </c>
      <c r="L92" s="2" t="s">
        <v>127</v>
      </c>
      <c r="M92" s="2" t="s">
        <v>127</v>
      </c>
      <c r="N92" s="2" t="s">
        <v>127</v>
      </c>
      <c r="Q92" s="2"/>
      <c r="R92" s="5"/>
    </row>
    <row r="93" spans="1:18" x14ac:dyDescent="0.25">
      <c r="A93" s="2" t="str">
        <f>"RAD"&amp;TEXT(Table82[[#This Row],[Count]],"000")&amp;"."&amp;IF(Table82[[#This Row],[Category]]="Essential","E",IF(Table82[[#This Row],[Category]]="Discretionary","D","O"))</f>
        <v>RAD088.D</v>
      </c>
      <c r="B93" s="2">
        <f>ROW()-ROW(Table82[[#Headers],[Count]])</f>
        <v>88</v>
      </c>
      <c r="C93" s="2" t="s">
        <v>80</v>
      </c>
      <c r="D93" s="5" t="s">
        <v>1249</v>
      </c>
      <c r="E93" s="2" t="s">
        <v>18</v>
      </c>
      <c r="M93" s="2" t="s">
        <v>127</v>
      </c>
      <c r="Q93" s="2"/>
      <c r="R93" s="5"/>
    </row>
    <row r="94" spans="1:18" x14ac:dyDescent="0.25">
      <c r="A94" s="2" t="str">
        <f>"RAD"&amp;TEXT(Table82[[#This Row],[Count]],"000")&amp;"."&amp;IF(Table82[[#This Row],[Category]]="Essential","E",IF(Table82[[#This Row],[Category]]="Discretionary","D","O"))</f>
        <v>RAD089.D</v>
      </c>
      <c r="B94" s="2">
        <f>ROW()-ROW(Table82[[#Headers],[Count]])</f>
        <v>89</v>
      </c>
      <c r="C94" s="2" t="s">
        <v>80</v>
      </c>
      <c r="D94" s="5" t="s">
        <v>1250</v>
      </c>
      <c r="E94" s="2" t="s">
        <v>18</v>
      </c>
      <c r="J94" s="2" t="s">
        <v>127</v>
      </c>
      <c r="Q94" s="2"/>
      <c r="R94" s="5"/>
    </row>
    <row r="95" spans="1:18" x14ac:dyDescent="0.25">
      <c r="A95" s="2" t="str">
        <f>"RAD"&amp;TEXT(Table82[[#This Row],[Count]],"000")&amp;"."&amp;IF(Table82[[#This Row],[Category]]="Essential","E",IF(Table82[[#This Row],[Category]]="Discretionary","D","O"))</f>
        <v>RAD090.D</v>
      </c>
      <c r="B95" s="2">
        <f>ROW()-ROW(Table82[[#Headers],[Count]])</f>
        <v>90</v>
      </c>
      <c r="C95" s="2" t="s">
        <v>80</v>
      </c>
      <c r="D95" s="5" t="s">
        <v>1251</v>
      </c>
      <c r="E95" s="2" t="s">
        <v>18</v>
      </c>
      <c r="F95" s="2" t="s">
        <v>127</v>
      </c>
      <c r="Q95" s="2"/>
      <c r="R95" s="5"/>
    </row>
    <row r="96" spans="1:18" ht="30" x14ac:dyDescent="0.25">
      <c r="A96" s="2" t="str">
        <f>"RAD"&amp;TEXT(Table82[[#This Row],[Count]],"000")&amp;"."&amp;IF(Table82[[#This Row],[Category]]="Essential","E",IF(Table82[[#This Row],[Category]]="Discretionary","D","O"))</f>
        <v>RAD091.D</v>
      </c>
      <c r="B96" s="2">
        <f>ROW()-ROW(Table82[[#Headers],[Count]])</f>
        <v>91</v>
      </c>
      <c r="C96" s="2" t="s">
        <v>80</v>
      </c>
      <c r="D96" s="5" t="s">
        <v>1252</v>
      </c>
      <c r="E96" s="2" t="s">
        <v>18</v>
      </c>
      <c r="L96" s="2" t="s">
        <v>127</v>
      </c>
      <c r="M96" s="2" t="s">
        <v>127</v>
      </c>
      <c r="N96" s="2" t="s">
        <v>127</v>
      </c>
      <c r="O96" s="2" t="s">
        <v>127</v>
      </c>
      <c r="Q96" s="2"/>
      <c r="R96" s="5"/>
    </row>
    <row r="97" spans="1:18" x14ac:dyDescent="0.25">
      <c r="A97" s="2" t="str">
        <f>"RAD"&amp;TEXT(Table82[[#This Row],[Count]],"000")&amp;"."&amp;IF(Table82[[#This Row],[Category]]="Essential","E",IF(Table82[[#This Row],[Category]]="Discretionary","D","O"))</f>
        <v>RAD092.D</v>
      </c>
      <c r="B97" s="2">
        <f>ROW()-ROW(Table82[[#Headers],[Count]])</f>
        <v>92</v>
      </c>
      <c r="C97" s="2" t="s">
        <v>80</v>
      </c>
      <c r="D97" s="5" t="s">
        <v>1253</v>
      </c>
      <c r="E97" s="2" t="s">
        <v>18</v>
      </c>
      <c r="F97" s="2" t="s">
        <v>127</v>
      </c>
      <c r="Q97" s="2"/>
      <c r="R97" s="5"/>
    </row>
    <row r="98" spans="1:18" ht="30" x14ac:dyDescent="0.25">
      <c r="A98" s="2" t="str">
        <f>"RAD"&amp;TEXT(Table82[[#This Row],[Count]],"000")&amp;"."&amp;IF(Table82[[#This Row],[Category]]="Essential","E",IF(Table82[[#This Row],[Category]]="Discretionary","D","O"))</f>
        <v>RAD093.D</v>
      </c>
      <c r="B98" s="2">
        <f>ROW()-ROW(Table82[[#Headers],[Count]])</f>
        <v>93</v>
      </c>
      <c r="C98" s="2" t="s">
        <v>80</v>
      </c>
      <c r="D98" s="5" t="s">
        <v>1254</v>
      </c>
      <c r="E98" s="2" t="s">
        <v>18</v>
      </c>
      <c r="M98" s="2" t="s">
        <v>127</v>
      </c>
      <c r="N98" s="2" t="s">
        <v>127</v>
      </c>
      <c r="Q98" s="2"/>
      <c r="R98" s="5"/>
    </row>
    <row r="99" spans="1:18" x14ac:dyDescent="0.25">
      <c r="A99" s="2" t="str">
        <f>"RAD"&amp;TEXT(Table82[[#This Row],[Count]],"000")&amp;"."&amp;IF(Table82[[#This Row],[Category]]="Essential","E",IF(Table82[[#This Row],[Category]]="Discretionary","D","O"))</f>
        <v>RAD094.D</v>
      </c>
      <c r="B99" s="2">
        <f>ROW()-ROW(Table82[[#Headers],[Count]])</f>
        <v>94</v>
      </c>
      <c r="C99" s="2" t="s">
        <v>80</v>
      </c>
      <c r="D99" s="5" t="s">
        <v>1255</v>
      </c>
      <c r="E99" s="2" t="s">
        <v>18</v>
      </c>
      <c r="M99" s="2" t="s">
        <v>675</v>
      </c>
      <c r="N99" s="2" t="s">
        <v>675</v>
      </c>
      <c r="Q99" s="2"/>
      <c r="R99" s="5"/>
    </row>
    <row r="100" spans="1:18" x14ac:dyDescent="0.25">
      <c r="A100" s="2" t="str">
        <f>"RAD"&amp;TEXT(Table82[[#This Row],[Count]],"000")&amp;"."&amp;IF(Table82[[#This Row],[Category]]="Essential","E",IF(Table82[[#This Row],[Category]]="Discretionary","D","O"))</f>
        <v>RAD095.D</v>
      </c>
      <c r="B100" s="2">
        <f>ROW()-ROW(Table82[[#Headers],[Count]])</f>
        <v>95</v>
      </c>
      <c r="C100" s="2" t="s">
        <v>80</v>
      </c>
      <c r="D100" s="5" t="s">
        <v>1256</v>
      </c>
      <c r="E100" s="2" t="s">
        <v>18</v>
      </c>
      <c r="M100" s="2" t="s">
        <v>127</v>
      </c>
      <c r="N100" s="2" t="s">
        <v>127</v>
      </c>
      <c r="Q100" s="2"/>
      <c r="R100" s="5"/>
    </row>
    <row r="101" spans="1:18" x14ac:dyDescent="0.25">
      <c r="A101" s="2" t="str">
        <f>"RAD"&amp;TEXT(Table82[[#This Row],[Count]],"000")&amp;"."&amp;IF(Table82[[#This Row],[Category]]="Essential","E",IF(Table82[[#This Row],[Category]]="Discretionary","D","O"))</f>
        <v>RAD096.D</v>
      </c>
      <c r="B101" s="2">
        <f>ROW()-ROW(Table82[[#Headers],[Count]])</f>
        <v>96</v>
      </c>
      <c r="C101" s="2" t="s">
        <v>80</v>
      </c>
      <c r="D101" s="5" t="s">
        <v>1257</v>
      </c>
      <c r="E101" s="2" t="s">
        <v>18</v>
      </c>
      <c r="M101" s="2" t="s">
        <v>127</v>
      </c>
      <c r="N101" s="2" t="s">
        <v>127</v>
      </c>
      <c r="Q101" s="2"/>
      <c r="R101" s="5"/>
    </row>
    <row r="102" spans="1:18" ht="30" x14ac:dyDescent="0.25">
      <c r="A102" s="2" t="str">
        <f>"RAD"&amp;TEXT(Table82[[#This Row],[Count]],"000")&amp;"."&amp;IF(Table82[[#This Row],[Category]]="Essential","E",IF(Table82[[#This Row],[Category]]="Discretionary","D","O"))</f>
        <v>RAD097.D</v>
      </c>
      <c r="B102" s="2">
        <f>ROW()-ROW(Table82[[#Headers],[Count]])</f>
        <v>97</v>
      </c>
      <c r="C102" s="2" t="s">
        <v>80</v>
      </c>
      <c r="D102" s="5" t="s">
        <v>1258</v>
      </c>
      <c r="E102" s="2" t="s">
        <v>18</v>
      </c>
      <c r="F102" s="2" t="s">
        <v>127</v>
      </c>
      <c r="Q102" s="2"/>
      <c r="R102" s="5" t="s">
        <v>1259</v>
      </c>
    </row>
    <row r="103" spans="1:18" x14ac:dyDescent="0.25">
      <c r="A103" s="2" t="str">
        <f>"RAD"&amp;TEXT(Table82[[#This Row],[Count]],"000")&amp;"."&amp;IF(Table82[[#This Row],[Category]]="Essential","E",IF(Table82[[#This Row],[Category]]="Discretionary","D","O"))</f>
        <v>RAD098.D</v>
      </c>
      <c r="B103" s="2">
        <f>ROW()-ROW(Table82[[#Headers],[Count]])</f>
        <v>98</v>
      </c>
      <c r="C103" s="2" t="s">
        <v>80</v>
      </c>
      <c r="D103" s="5" t="s">
        <v>1260</v>
      </c>
      <c r="E103" s="2" t="s">
        <v>18</v>
      </c>
      <c r="M103" s="2" t="s">
        <v>127</v>
      </c>
      <c r="N103" s="2" t="s">
        <v>127</v>
      </c>
      <c r="Q103" s="2"/>
      <c r="R103" s="5"/>
    </row>
    <row r="104" spans="1:18" x14ac:dyDescent="0.25">
      <c r="A104" s="2" t="str">
        <f>"RAD"&amp;TEXT(Table82[[#This Row],[Count]],"000")&amp;"."&amp;IF(Table82[[#This Row],[Category]]="Essential","E",IF(Table82[[#This Row],[Category]]="Discretionary","D","O"))</f>
        <v>RAD099.D</v>
      </c>
      <c r="B104" s="2">
        <f>ROW()-ROW(Table82[[#Headers],[Count]])</f>
        <v>99</v>
      </c>
      <c r="C104" s="2" t="s">
        <v>80</v>
      </c>
      <c r="D104" s="5" t="s">
        <v>1261</v>
      </c>
      <c r="E104" s="2" t="s">
        <v>18</v>
      </c>
      <c r="K104" s="2" t="s">
        <v>127</v>
      </c>
      <c r="L104" s="2" t="s">
        <v>127</v>
      </c>
      <c r="Q104" s="2"/>
      <c r="R104" s="5"/>
    </row>
    <row r="105" spans="1:18" ht="45" x14ac:dyDescent="0.25">
      <c r="A105" s="2" t="str">
        <f>"RAD"&amp;TEXT(Table82[[#This Row],[Count]],"000")&amp;"."&amp;IF(Table82[[#This Row],[Category]]="Essential","E",IF(Table82[[#This Row],[Category]]="Discretionary","D","O"))</f>
        <v>RAD100.D</v>
      </c>
      <c r="B105" s="2">
        <f>ROW()-ROW(Table82[[#Headers],[Count]])</f>
        <v>100</v>
      </c>
      <c r="C105" s="2" t="s">
        <v>80</v>
      </c>
      <c r="D105" s="5" t="s">
        <v>1262</v>
      </c>
      <c r="E105" s="2" t="s">
        <v>18</v>
      </c>
      <c r="F105" s="2" t="s">
        <v>127</v>
      </c>
      <c r="Q105" s="2"/>
      <c r="R105" s="5"/>
    </row>
    <row r="106" spans="1:18" ht="30" x14ac:dyDescent="0.25">
      <c r="A106" s="2" t="str">
        <f>"RAD"&amp;TEXT(Table82[[#This Row],[Count]],"000")&amp;"."&amp;IF(Table82[[#This Row],[Category]]="Essential","E",IF(Table82[[#This Row],[Category]]="Discretionary","D","O"))</f>
        <v>RAD101.O</v>
      </c>
      <c r="B106" s="2">
        <f>ROW()-ROW(Table82[[#Headers],[Count]])</f>
        <v>101</v>
      </c>
      <c r="C106" s="2" t="s">
        <v>80</v>
      </c>
      <c r="D106" s="5" t="s">
        <v>1263</v>
      </c>
      <c r="E106" s="2" t="s">
        <v>23</v>
      </c>
      <c r="F106" s="2" t="s">
        <v>127</v>
      </c>
      <c r="Q106" s="2"/>
      <c r="R106" s="5" t="s">
        <v>1264</v>
      </c>
    </row>
    <row r="107" spans="1:18" ht="30" x14ac:dyDescent="0.25">
      <c r="A107" s="2" t="str">
        <f>"RAD"&amp;TEXT(Table82[[#This Row],[Count]],"000")&amp;"."&amp;IF(Table82[[#This Row],[Category]]="Essential","E",IF(Table82[[#This Row],[Category]]="Discretionary","D","O"))</f>
        <v>RAD102.O</v>
      </c>
      <c r="B107" s="2">
        <f>ROW()-ROW(Table82[[#Headers],[Count]])</f>
        <v>102</v>
      </c>
      <c r="C107" s="2" t="s">
        <v>80</v>
      </c>
      <c r="D107" s="5" t="s">
        <v>1265</v>
      </c>
      <c r="E107" s="2" t="s">
        <v>23</v>
      </c>
      <c r="K107" s="2" t="s">
        <v>127</v>
      </c>
      <c r="L107" s="2" t="s">
        <v>127</v>
      </c>
      <c r="M107" s="2" t="s">
        <v>127</v>
      </c>
      <c r="N107" s="2" t="s">
        <v>127</v>
      </c>
      <c r="Q107" s="2"/>
      <c r="R107" s="5" t="s">
        <v>137</v>
      </c>
    </row>
    <row r="108" spans="1:18" x14ac:dyDescent="0.25">
      <c r="A108" s="2" t="str">
        <f>"RAD"&amp;TEXT(Table82[[#This Row],[Count]],"000")&amp;"."&amp;IF(Table82[[#This Row],[Category]]="Essential","E",IF(Table82[[#This Row],[Category]]="Discretionary","D","O"))</f>
        <v>RAD103.D</v>
      </c>
      <c r="B108" s="2">
        <f>ROW()-ROW(Table82[[#Headers],[Count]])</f>
        <v>103</v>
      </c>
      <c r="C108" s="2" t="s">
        <v>80</v>
      </c>
      <c r="D108" s="5" t="s">
        <v>1266</v>
      </c>
      <c r="E108" s="2" t="s">
        <v>18</v>
      </c>
      <c r="L108" s="2" t="s">
        <v>127</v>
      </c>
      <c r="M108" s="2" t="s">
        <v>127</v>
      </c>
      <c r="N108" s="2" t="s">
        <v>127</v>
      </c>
      <c r="Q108" s="2"/>
      <c r="R108" s="5"/>
    </row>
    <row r="109" spans="1:18" x14ac:dyDescent="0.25">
      <c r="A109" s="2" t="str">
        <f>"RAD"&amp;TEXT(Table82[[#This Row],[Count]],"000")&amp;"."&amp;IF(Table82[[#This Row],[Category]]="Essential","E",IF(Table82[[#This Row],[Category]]="Discretionary","D","O"))</f>
        <v>RAD104.D</v>
      </c>
      <c r="B109" s="2">
        <f>ROW()-ROW(Table82[[#Headers],[Count]])</f>
        <v>104</v>
      </c>
      <c r="C109" s="2" t="s">
        <v>80</v>
      </c>
      <c r="D109" s="5" t="s">
        <v>1267</v>
      </c>
      <c r="E109" s="2" t="s">
        <v>18</v>
      </c>
      <c r="F109" s="2" t="s">
        <v>127</v>
      </c>
      <c r="Q109" s="2"/>
      <c r="R109" s="5"/>
    </row>
    <row r="110" spans="1:18" x14ac:dyDescent="0.25">
      <c r="A110" s="2" t="str">
        <f>"RAD"&amp;TEXT(Table82[[#This Row],[Count]],"000")&amp;"."&amp;IF(Table82[[#This Row],[Category]]="Essential","E",IF(Table82[[#This Row],[Category]]="Discretionary","D","O"))</f>
        <v>RAD105.D</v>
      </c>
      <c r="B110" s="2">
        <f>ROW()-ROW(Table82[[#Headers],[Count]])</f>
        <v>105</v>
      </c>
      <c r="C110" s="2" t="s">
        <v>80</v>
      </c>
      <c r="D110" s="5" t="s">
        <v>1268</v>
      </c>
      <c r="E110" s="2" t="s">
        <v>18</v>
      </c>
      <c r="J110" s="2" t="s">
        <v>675</v>
      </c>
      <c r="K110" s="2" t="s">
        <v>675</v>
      </c>
      <c r="L110" s="2" t="s">
        <v>675</v>
      </c>
      <c r="M110" s="2" t="s">
        <v>675</v>
      </c>
      <c r="N110" s="2" t="s">
        <v>675</v>
      </c>
      <c r="Q110" s="2"/>
      <c r="R110" s="5"/>
    </row>
    <row r="111" spans="1:18" ht="60" x14ac:dyDescent="0.25">
      <c r="A111" s="2" t="str">
        <f>"RAD"&amp;TEXT(Table82[[#This Row],[Count]],"000")&amp;"."&amp;IF(Table82[[#This Row],[Category]]="Essential","E",IF(Table82[[#This Row],[Category]]="Discretionary","D","O"))</f>
        <v>RAD106.D</v>
      </c>
      <c r="B111" s="2">
        <f>ROW()-ROW(Table82[[#Headers],[Count]])</f>
        <v>106</v>
      </c>
      <c r="C111" s="2" t="s">
        <v>80</v>
      </c>
      <c r="D111" s="5" t="s">
        <v>1269</v>
      </c>
      <c r="E111" s="2" t="s">
        <v>18</v>
      </c>
      <c r="J111" s="2" t="s">
        <v>675</v>
      </c>
      <c r="K111" s="2" t="s">
        <v>675</v>
      </c>
      <c r="L111" s="2" t="s">
        <v>675</v>
      </c>
      <c r="M111" s="2" t="s">
        <v>675</v>
      </c>
      <c r="N111" s="2" t="s">
        <v>675</v>
      </c>
      <c r="Q111" s="2"/>
      <c r="R111" s="5"/>
    </row>
    <row r="112" spans="1:18" ht="30" x14ac:dyDescent="0.25">
      <c r="A112" s="2" t="str">
        <f>"RAD"&amp;TEXT(Table82[[#This Row],[Count]],"000")&amp;"."&amp;IF(Table82[[#This Row],[Category]]="Essential","E",IF(Table82[[#This Row],[Category]]="Discretionary","D","O"))</f>
        <v>RAD107.D</v>
      </c>
      <c r="B112" s="2">
        <f>ROW()-ROW(Table82[[#Headers],[Count]])</f>
        <v>107</v>
      </c>
      <c r="C112" s="2" t="s">
        <v>80</v>
      </c>
      <c r="D112" s="5" t="s">
        <v>1270</v>
      </c>
      <c r="E112" s="2" t="s">
        <v>18</v>
      </c>
      <c r="M112" s="2" t="s">
        <v>127</v>
      </c>
      <c r="N112" s="2" t="s">
        <v>127</v>
      </c>
      <c r="Q112" s="2"/>
      <c r="R112" s="5"/>
    </row>
    <row r="113" spans="1:18" ht="30" x14ac:dyDescent="0.25">
      <c r="A113" s="2" t="str">
        <f>"RAD"&amp;TEXT(Table82[[#This Row],[Count]],"000")&amp;"."&amp;IF(Table82[[#This Row],[Category]]="Essential","E",IF(Table82[[#This Row],[Category]]="Discretionary","D","O"))</f>
        <v>RAD108.D</v>
      </c>
      <c r="B113" s="2">
        <f>ROW()-ROW(Table82[[#Headers],[Count]])</f>
        <v>108</v>
      </c>
      <c r="C113" s="2" t="s">
        <v>80</v>
      </c>
      <c r="D113" s="5" t="s">
        <v>1271</v>
      </c>
      <c r="E113" s="2" t="s">
        <v>18</v>
      </c>
      <c r="K113" s="2" t="s">
        <v>127</v>
      </c>
      <c r="L113" s="2" t="s">
        <v>127</v>
      </c>
      <c r="M113" s="2" t="s">
        <v>127</v>
      </c>
      <c r="N113" s="2" t="s">
        <v>127</v>
      </c>
      <c r="Q113" s="2"/>
      <c r="R113" s="5"/>
    </row>
    <row r="114" spans="1:18" ht="30" x14ac:dyDescent="0.25">
      <c r="A114" s="2" t="str">
        <f>"RAD"&amp;TEXT(Table82[[#This Row],[Count]],"000")&amp;"."&amp;IF(Table82[[#This Row],[Category]]="Essential","E",IF(Table82[[#This Row],[Category]]="Discretionary","D","O"))</f>
        <v>RAD109.D</v>
      </c>
      <c r="B114" s="2">
        <f>ROW()-ROW(Table82[[#Headers],[Count]])</f>
        <v>109</v>
      </c>
      <c r="C114" s="2" t="s">
        <v>80</v>
      </c>
      <c r="D114" s="5" t="s">
        <v>1272</v>
      </c>
      <c r="E114" s="2" t="s">
        <v>18</v>
      </c>
      <c r="L114" s="2" t="s">
        <v>127</v>
      </c>
      <c r="M114" s="2" t="s">
        <v>127</v>
      </c>
      <c r="N114" s="2" t="s">
        <v>127</v>
      </c>
      <c r="Q114" s="2"/>
      <c r="R114" s="5"/>
    </row>
    <row r="115" spans="1:18" ht="30" x14ac:dyDescent="0.25">
      <c r="A115" s="2" t="str">
        <f>"RAD"&amp;TEXT(Table82[[#This Row],[Count]],"000")&amp;"."&amp;IF(Table82[[#This Row],[Category]]="Essential","E",IF(Table82[[#This Row],[Category]]="Discretionary","D","O"))</f>
        <v>RAD110.D</v>
      </c>
      <c r="B115" s="2">
        <f>ROW()-ROW(Table82[[#Headers],[Count]])</f>
        <v>110</v>
      </c>
      <c r="C115" s="2" t="s">
        <v>80</v>
      </c>
      <c r="D115" s="5" t="s">
        <v>1273</v>
      </c>
      <c r="E115" s="2" t="s">
        <v>18</v>
      </c>
      <c r="F115" s="2" t="s">
        <v>127</v>
      </c>
      <c r="Q115" s="2"/>
      <c r="R115" s="5"/>
    </row>
    <row r="116" spans="1:18" x14ac:dyDescent="0.25">
      <c r="A116" s="2" t="str">
        <f>"RAD"&amp;TEXT(Table82[[#This Row],[Count]],"000")&amp;"."&amp;IF(Table82[[#This Row],[Category]]="Essential","E",IF(Table82[[#This Row],[Category]]="Discretionary","D","O"))</f>
        <v>RAD111.O</v>
      </c>
      <c r="B116" s="2">
        <f>ROW()-ROW(Table82[[#Headers],[Count]])</f>
        <v>111</v>
      </c>
      <c r="C116" s="2" t="s">
        <v>80</v>
      </c>
      <c r="D116" s="5" t="s">
        <v>1274</v>
      </c>
      <c r="E116" s="2" t="s">
        <v>23</v>
      </c>
      <c r="Q116" s="2"/>
      <c r="R116" s="5" t="s">
        <v>1162</v>
      </c>
    </row>
    <row r="117" spans="1:18" x14ac:dyDescent="0.25">
      <c r="A117" s="2" t="str">
        <f>"RAD"&amp;TEXT(Table82[[#This Row],[Count]],"000")&amp;"."&amp;IF(Table82[[#This Row],[Category]]="Essential","E",IF(Table82[[#This Row],[Category]]="Discretionary","D","O"))</f>
        <v>RAD112.D</v>
      </c>
      <c r="B117" s="2">
        <f>ROW()-ROW(Table82[[#Headers],[Count]])</f>
        <v>112</v>
      </c>
      <c r="C117" s="2" t="s">
        <v>80</v>
      </c>
      <c r="D117" s="5" t="s">
        <v>1275</v>
      </c>
      <c r="E117" s="2" t="s">
        <v>18</v>
      </c>
      <c r="M117" s="2" t="s">
        <v>127</v>
      </c>
      <c r="N117" s="2" t="s">
        <v>127</v>
      </c>
      <c r="O117" s="2" t="s">
        <v>127</v>
      </c>
      <c r="Q117" s="2"/>
      <c r="R117" s="5"/>
    </row>
    <row r="118" spans="1:18" ht="30" x14ac:dyDescent="0.25">
      <c r="A118" s="2" t="str">
        <f>"RAD"&amp;TEXT(Table82[[#This Row],[Count]],"000")&amp;"."&amp;IF(Table82[[#This Row],[Category]]="Essential","E",IF(Table82[[#This Row],[Category]]="Discretionary","D","O"))</f>
        <v>RAD113.D</v>
      </c>
      <c r="B118" s="2">
        <f>ROW()-ROW(Table82[[#Headers],[Count]])</f>
        <v>113</v>
      </c>
      <c r="C118" s="2" t="s">
        <v>80</v>
      </c>
      <c r="D118" s="5" t="s">
        <v>1276</v>
      </c>
      <c r="E118" s="2" t="s">
        <v>18</v>
      </c>
      <c r="F118" s="2" t="s">
        <v>127</v>
      </c>
      <c r="Q118" s="2"/>
      <c r="R118" s="5"/>
    </row>
    <row r="119" spans="1:18" x14ac:dyDescent="0.25">
      <c r="A119" s="2" t="str">
        <f>"RAD"&amp;TEXT(Table82[[#This Row],[Count]],"000")&amp;"."&amp;IF(Table82[[#This Row],[Category]]="Essential","E",IF(Table82[[#This Row],[Category]]="Discretionary","D","O"))</f>
        <v>RAD114.D</v>
      </c>
      <c r="B119" s="2">
        <f>ROW()-ROW(Table82[[#Headers],[Count]])</f>
        <v>114</v>
      </c>
      <c r="C119" s="2" t="s">
        <v>80</v>
      </c>
      <c r="D119" s="5" t="s">
        <v>1277</v>
      </c>
      <c r="E119" s="2" t="s">
        <v>18</v>
      </c>
      <c r="L119" s="2" t="s">
        <v>127</v>
      </c>
      <c r="M119" s="2" t="s">
        <v>127</v>
      </c>
      <c r="Q119" s="2"/>
      <c r="R119" s="5"/>
    </row>
    <row r="120" spans="1:18" ht="30" x14ac:dyDescent="0.25">
      <c r="A120" s="2" t="str">
        <f>"RAD"&amp;TEXT(Table82[[#This Row],[Count]],"000")&amp;"."&amp;IF(Table82[[#This Row],[Category]]="Essential","E",IF(Table82[[#This Row],[Category]]="Discretionary","D","O"))</f>
        <v>RAD115.D</v>
      </c>
      <c r="B120" s="2">
        <f>ROW()-ROW(Table82[[#Headers],[Count]])</f>
        <v>115</v>
      </c>
      <c r="C120" s="2" t="s">
        <v>80</v>
      </c>
      <c r="D120" s="5" t="s">
        <v>1278</v>
      </c>
      <c r="E120" s="2" t="s">
        <v>18</v>
      </c>
      <c r="L120" s="2" t="s">
        <v>127</v>
      </c>
      <c r="M120" s="2" t="s">
        <v>127</v>
      </c>
      <c r="N120" s="2" t="s">
        <v>127</v>
      </c>
      <c r="O120" s="2" t="s">
        <v>127</v>
      </c>
      <c r="Q120" s="2"/>
      <c r="R120" s="5"/>
    </row>
    <row r="121" spans="1:18" ht="30" x14ac:dyDescent="0.25">
      <c r="A121" s="2" t="str">
        <f>"RAD"&amp;TEXT(Table82[[#This Row],[Count]],"000")&amp;"."&amp;IF(Table82[[#This Row],[Category]]="Essential","E",IF(Table82[[#This Row],[Category]]="Discretionary","D","O"))</f>
        <v>RAD116.D</v>
      </c>
      <c r="B121" s="2">
        <f>ROW()-ROW(Table82[[#Headers],[Count]])</f>
        <v>116</v>
      </c>
      <c r="C121" s="2" t="s">
        <v>80</v>
      </c>
      <c r="D121" s="5" t="s">
        <v>1279</v>
      </c>
      <c r="E121" s="2" t="s">
        <v>18</v>
      </c>
      <c r="K121" s="2" t="s">
        <v>127</v>
      </c>
      <c r="L121" s="2" t="s">
        <v>127</v>
      </c>
      <c r="M121" s="2" t="s">
        <v>127</v>
      </c>
      <c r="N121" s="2" t="s">
        <v>127</v>
      </c>
      <c r="Q121" s="2"/>
      <c r="R121" s="5"/>
    </row>
    <row r="122" spans="1:18" ht="30" x14ac:dyDescent="0.25">
      <c r="A122" s="2" t="str">
        <f>"RAD"&amp;TEXT(Table82[[#This Row],[Count]],"000")&amp;"."&amp;IF(Table82[[#This Row],[Category]]="Essential","E",IF(Table82[[#This Row],[Category]]="Discretionary","D","O"))</f>
        <v>RAD117.D</v>
      </c>
      <c r="B122" s="2">
        <f>ROW()-ROW(Table82[[#Headers],[Count]])</f>
        <v>117</v>
      </c>
      <c r="C122" s="2" t="s">
        <v>80</v>
      </c>
      <c r="D122" s="5" t="s">
        <v>1280</v>
      </c>
      <c r="E122" s="2" t="s">
        <v>18</v>
      </c>
      <c r="M122" s="2" t="s">
        <v>127</v>
      </c>
      <c r="N122" s="2" t="s">
        <v>127</v>
      </c>
      <c r="Q122" s="2"/>
      <c r="R122" s="5"/>
    </row>
  </sheetData>
  <mergeCells count="3">
    <mergeCell ref="A1:R1"/>
    <mergeCell ref="A3:R3"/>
    <mergeCell ref="A2:R2"/>
  </mergeCells>
  <conditionalFormatting sqref="E6:E700">
    <cfRule type="containsText" dxfId="166" priority="1" operator="containsText" text="Other">
      <formula>NOT(ISERROR(SEARCH("Other",E6)))</formula>
    </cfRule>
    <cfRule type="containsText" dxfId="165" priority="3" operator="containsText" text="Discretionary">
      <formula>NOT(ISERROR(SEARCH("Discretionary",E6)))</formula>
    </cfRule>
    <cfRule type="containsText" dxfId="164" priority="4" operator="containsText" text="Essential">
      <formula>NOT(ISERROR(SEARCH("Essential",E6)))</formula>
    </cfRule>
  </conditionalFormatting>
  <conditionalFormatting sqref="E123:P723 F6:Q122">
    <cfRule type="containsText" dxfId="163" priority="5" operator="containsText" text="x">
      <formula>NOT(ISERROR(SEARCH("x",E6)))</formula>
    </cfRule>
  </conditionalFormatting>
  <dataValidations count="1">
    <dataValidation type="list" allowBlank="1" showInputMessage="1" showErrorMessage="1" sqref="E6:E122" xr:uid="{075C9DF0-C36B-4271-8F89-8E6ACC70DCF9}">
      <formula1>Cats</formula1>
    </dataValidation>
  </dataValidations>
  <pageMargins left="0.7" right="0.7" top="0.75" bottom="0.75" header="0.3" footer="0.3"/>
  <pageSetup paperSize="9" scale="48" fitToHeight="0" orientation="landscape" r:id="rId1"/>
  <headerFooter>
    <oddFooter>&amp;C&amp;P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5CE6-B493-47B6-A59D-EAB2B77678A0}">
  <sheetPr>
    <pageSetUpPr fitToPage="1"/>
  </sheetPr>
  <dimension ref="A1:R44"/>
  <sheetViews>
    <sheetView view="pageLayout" zoomScaleNormal="100" workbookViewId="0">
      <selection activeCell="R17" sqref="R17"/>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style="2" customWidth="1"/>
  </cols>
  <sheetData>
    <row r="1" spans="1:18" ht="31.5" x14ac:dyDescent="0.5">
      <c r="A1" s="57" t="s">
        <v>30</v>
      </c>
      <c r="B1" s="57"/>
      <c r="C1" s="57"/>
      <c r="D1" s="57"/>
      <c r="E1" s="57"/>
      <c r="F1" s="57"/>
      <c r="G1" s="57"/>
      <c r="H1" s="57"/>
      <c r="I1" s="57"/>
      <c r="J1" s="57"/>
      <c r="K1" s="57"/>
      <c r="L1" s="57"/>
      <c r="M1" s="57"/>
      <c r="N1" s="57"/>
      <c r="O1" s="57"/>
      <c r="P1" s="57"/>
      <c r="Q1" s="57"/>
      <c r="R1" s="57"/>
    </row>
    <row r="2" spans="1:18" ht="48" customHeight="1" x14ac:dyDescent="0.25">
      <c r="A2" s="59" t="s">
        <v>152</v>
      </c>
      <c r="B2" s="59"/>
      <c r="C2" s="59"/>
      <c r="D2" s="59"/>
      <c r="E2" s="59"/>
      <c r="F2" s="59"/>
      <c r="G2" s="59"/>
      <c r="H2" s="59"/>
      <c r="I2" s="59"/>
      <c r="J2" s="59"/>
      <c r="K2" s="59"/>
      <c r="L2" s="59"/>
      <c r="M2" s="59"/>
      <c r="N2" s="59"/>
      <c r="O2" s="59"/>
      <c r="P2" s="59"/>
      <c r="Q2" s="59"/>
      <c r="R2" s="59"/>
    </row>
    <row r="3" spans="1:18" x14ac:dyDescent="0.25">
      <c r="A3" s="58" t="s">
        <v>30</v>
      </c>
      <c r="B3" s="58"/>
      <c r="C3" s="58"/>
      <c r="D3" s="58"/>
      <c r="E3" s="58"/>
      <c r="F3" s="58"/>
      <c r="G3" s="58"/>
      <c r="H3" s="58"/>
      <c r="I3" s="58"/>
      <c r="J3" s="58"/>
      <c r="K3" s="58"/>
      <c r="L3" s="58"/>
      <c r="M3" s="58"/>
      <c r="N3" s="58"/>
      <c r="O3" s="58"/>
      <c r="P3" s="58"/>
      <c r="Q3" s="58"/>
      <c r="R3" s="58"/>
    </row>
    <row r="5" spans="1:18" x14ac:dyDescent="0.25">
      <c r="A5" s="3" t="s">
        <v>120</v>
      </c>
      <c r="B5" s="3" t="s">
        <v>121</v>
      </c>
      <c r="C5" s="6"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"OPHT"&amp;TEXT(Table47[[#This Row],[Count]],"000")&amp;"."&amp;IF(Table47[[#This Row],[Category]]="Essential","E",IF(Table47[[#This Row],[Category]]="Discretionary","D","O"))</f>
        <v>OPHT001.D</v>
      </c>
      <c r="B6" s="2">
        <f>ROW()-ROW(Table47[[#Headers],[Count]])</f>
        <v>1</v>
      </c>
      <c r="C6" s="2" t="s">
        <v>30</v>
      </c>
      <c r="D6" s="5" t="s">
        <v>1281</v>
      </c>
      <c r="E6" s="2" t="s">
        <v>18</v>
      </c>
      <c r="H6" s="2" t="s">
        <v>127</v>
      </c>
      <c r="Q6" s="2"/>
      <c r="R6" s="5"/>
    </row>
    <row r="7" spans="1:18" ht="45" x14ac:dyDescent="0.25">
      <c r="A7" s="2" t="str">
        <f>"OPHT"&amp;TEXT(Table47[[#This Row],[Count]],"000")&amp;"."&amp;IF(Table47[[#This Row],[Category]]="Essential","E",IF(Table47[[#This Row],[Category]]="Discretionary","D","O"))</f>
        <v>OPHT002.D</v>
      </c>
      <c r="B7" s="2">
        <f>ROW()-ROW(Table47[[#Headers],[Count]])</f>
        <v>2</v>
      </c>
      <c r="C7" s="2" t="s">
        <v>30</v>
      </c>
      <c r="D7" s="5" t="s">
        <v>1282</v>
      </c>
      <c r="E7" s="2" t="s">
        <v>18</v>
      </c>
      <c r="H7" s="2" t="s">
        <v>127</v>
      </c>
      <c r="Q7" s="2"/>
      <c r="R7" s="5"/>
    </row>
    <row r="8" spans="1:18" ht="45" x14ac:dyDescent="0.25">
      <c r="A8" s="2" t="str">
        <f>"OPHT"&amp;TEXT(Table47[[#This Row],[Count]],"000")&amp;"."&amp;IF(Table47[[#This Row],[Category]]="Essential","E",IF(Table47[[#This Row],[Category]]="Discretionary","D","O"))</f>
        <v>OPHT003.D</v>
      </c>
      <c r="B8" s="2">
        <f>ROW()-ROW(Table47[[#Headers],[Count]])</f>
        <v>3</v>
      </c>
      <c r="C8" s="2" t="s">
        <v>30</v>
      </c>
      <c r="D8" s="5" t="s">
        <v>1283</v>
      </c>
      <c r="E8" s="2" t="s">
        <v>18</v>
      </c>
      <c r="H8" s="2" t="s">
        <v>127</v>
      </c>
      <c r="Q8" s="2"/>
      <c r="R8" s="5"/>
    </row>
    <row r="9" spans="1:18" ht="30" x14ac:dyDescent="0.25">
      <c r="A9" s="2" t="str">
        <f>"OPHT"&amp;TEXT(Table47[[#This Row],[Count]],"000")&amp;"."&amp;IF(Table47[[#This Row],[Category]]="Essential","E",IF(Table47[[#This Row],[Category]]="Discretionary","D","O"))</f>
        <v>OPHT004.D</v>
      </c>
      <c r="B9" s="2">
        <f>ROW()-ROW(Table47[[#Headers],[Count]])</f>
        <v>4</v>
      </c>
      <c r="C9" s="2" t="s">
        <v>30</v>
      </c>
      <c r="D9" s="5" t="s">
        <v>1284</v>
      </c>
      <c r="E9" s="2" t="s">
        <v>18</v>
      </c>
      <c r="M9" s="2" t="s">
        <v>127</v>
      </c>
      <c r="N9" s="2" t="s">
        <v>127</v>
      </c>
      <c r="O9" s="2" t="s">
        <v>127</v>
      </c>
      <c r="P9" s="2" t="s">
        <v>127</v>
      </c>
      <c r="Q9" s="2" t="s">
        <v>127</v>
      </c>
      <c r="R9" s="5"/>
    </row>
    <row r="10" spans="1:18" ht="30" x14ac:dyDescent="0.25">
      <c r="A10" s="2" t="str">
        <f>"OPHT"&amp;TEXT(Table47[[#This Row],[Count]],"000")&amp;"."&amp;IF(Table47[[#This Row],[Category]]="Essential","E",IF(Table47[[#This Row],[Category]]="Discretionary","D","O"))</f>
        <v>OPHT005.D</v>
      </c>
      <c r="B10" s="2">
        <f>ROW()-ROW(Table47[[#Headers],[Count]])</f>
        <v>5</v>
      </c>
      <c r="C10" s="2" t="s">
        <v>30</v>
      </c>
      <c r="D10" s="5" t="s">
        <v>1285</v>
      </c>
      <c r="E10" s="2" t="s">
        <v>18</v>
      </c>
      <c r="M10" s="2" t="s">
        <v>127</v>
      </c>
      <c r="N10" s="2" t="s">
        <v>127</v>
      </c>
      <c r="O10" s="2" t="s">
        <v>127</v>
      </c>
      <c r="P10" s="2" t="s">
        <v>127</v>
      </c>
      <c r="Q10" s="2" t="s">
        <v>127</v>
      </c>
      <c r="R10" s="5"/>
    </row>
    <row r="11" spans="1:18" ht="30" x14ac:dyDescent="0.25">
      <c r="A11" s="2" t="str">
        <f>"OPHT"&amp;TEXT(Table47[[#This Row],[Count]],"000")&amp;"."&amp;IF(Table47[[#This Row],[Category]]="Essential","E",IF(Table47[[#This Row],[Category]]="Discretionary","D","O"))</f>
        <v>OPHT006.D</v>
      </c>
      <c r="B11" s="2">
        <f>ROW()-ROW(Table47[[#Headers],[Count]])</f>
        <v>6</v>
      </c>
      <c r="C11" s="2" t="s">
        <v>30</v>
      </c>
      <c r="D11" s="5" t="s">
        <v>1286</v>
      </c>
      <c r="E11" s="2" t="s">
        <v>18</v>
      </c>
      <c r="H11" s="2" t="s">
        <v>127</v>
      </c>
      <c r="Q11" s="2"/>
      <c r="R11" s="5"/>
    </row>
    <row r="12" spans="1:18" x14ac:dyDescent="0.25">
      <c r="A12" s="2" t="str">
        <f>"OPHT"&amp;TEXT(Table47[[#This Row],[Count]],"000")&amp;"."&amp;IF(Table47[[#This Row],[Category]]="Essential","E",IF(Table47[[#This Row],[Category]]="Discretionary","D","O"))</f>
        <v>OPHT007.D</v>
      </c>
      <c r="B12" s="2">
        <f>ROW()-ROW(Table47[[#Headers],[Count]])</f>
        <v>7</v>
      </c>
      <c r="C12" s="2" t="s">
        <v>30</v>
      </c>
      <c r="D12" s="5" t="s">
        <v>1287</v>
      </c>
      <c r="E12" s="2" t="s">
        <v>18</v>
      </c>
      <c r="L12" s="2" t="s">
        <v>127</v>
      </c>
      <c r="M12" s="2" t="s">
        <v>127</v>
      </c>
      <c r="N12" s="2" t="s">
        <v>127</v>
      </c>
      <c r="O12" s="2" t="s">
        <v>127</v>
      </c>
      <c r="P12" s="2" t="s">
        <v>127</v>
      </c>
      <c r="Q12" s="2" t="s">
        <v>127</v>
      </c>
      <c r="R12" s="5"/>
    </row>
    <row r="13" spans="1:18" ht="30" x14ac:dyDescent="0.25">
      <c r="A13" s="2" t="str">
        <f>"OPHT"&amp;TEXT(Table47[[#This Row],[Count]],"000")&amp;"."&amp;IF(Table47[[#This Row],[Category]]="Essential","E",IF(Table47[[#This Row],[Category]]="Discretionary","D","O"))</f>
        <v>OPHT008.D</v>
      </c>
      <c r="B13" s="2">
        <f>ROW()-ROW(Table47[[#Headers],[Count]])</f>
        <v>8</v>
      </c>
      <c r="C13" s="2" t="s">
        <v>30</v>
      </c>
      <c r="D13" s="5" t="s">
        <v>1288</v>
      </c>
      <c r="E13" s="2" t="s">
        <v>18</v>
      </c>
      <c r="L13" s="2" t="s">
        <v>127</v>
      </c>
      <c r="M13" s="2" t="s">
        <v>127</v>
      </c>
      <c r="N13" s="2" t="s">
        <v>127</v>
      </c>
      <c r="O13" s="2" t="s">
        <v>127</v>
      </c>
      <c r="P13" s="2" t="s">
        <v>127</v>
      </c>
      <c r="Q13" s="2" t="s">
        <v>127</v>
      </c>
      <c r="R13" s="5"/>
    </row>
    <row r="14" spans="1:18" ht="30" x14ac:dyDescent="0.25">
      <c r="A14" s="2" t="str">
        <f>"OPHT"&amp;TEXT(Table47[[#This Row],[Count]],"000")&amp;"."&amp;IF(Table47[[#This Row],[Category]]="Essential","E",IF(Table47[[#This Row],[Category]]="Discretionary","D","O"))</f>
        <v>OPHT009.D</v>
      </c>
      <c r="B14" s="2">
        <f>ROW()-ROW(Table47[[#Headers],[Count]])</f>
        <v>9</v>
      </c>
      <c r="C14" s="2" t="s">
        <v>30</v>
      </c>
      <c r="D14" s="5" t="s">
        <v>1289</v>
      </c>
      <c r="E14" s="2" t="s">
        <v>18</v>
      </c>
      <c r="L14" s="2" t="s">
        <v>127</v>
      </c>
      <c r="M14" s="2" t="s">
        <v>127</v>
      </c>
      <c r="N14" s="2" t="s">
        <v>127</v>
      </c>
      <c r="O14" s="2" t="s">
        <v>127</v>
      </c>
      <c r="P14" s="2" t="s">
        <v>127</v>
      </c>
      <c r="Q14" s="2" t="s">
        <v>127</v>
      </c>
      <c r="R14" s="5" t="s">
        <v>1290</v>
      </c>
    </row>
    <row r="15" spans="1:18" x14ac:dyDescent="0.25">
      <c r="A15" s="2" t="str">
        <f>"OPHT"&amp;TEXT(Table47[[#This Row],[Count]],"000")&amp;"."&amp;IF(Table47[[#This Row],[Category]]="Essential","E",IF(Table47[[#This Row],[Category]]="Discretionary","D","O"))</f>
        <v>OPHT010.D</v>
      </c>
      <c r="B15" s="2">
        <f>ROW()-ROW(Table47[[#Headers],[Count]])</f>
        <v>10</v>
      </c>
      <c r="C15" s="2" t="s">
        <v>30</v>
      </c>
      <c r="D15" s="5" t="s">
        <v>1291</v>
      </c>
      <c r="E15" s="2" t="s">
        <v>18</v>
      </c>
      <c r="O15" s="2" t="s">
        <v>127</v>
      </c>
      <c r="P15" s="2" t="s">
        <v>127</v>
      </c>
      <c r="Q15" s="2" t="s">
        <v>127</v>
      </c>
      <c r="R15" s="5"/>
    </row>
    <row r="16" spans="1:18" ht="30" x14ac:dyDescent="0.25">
      <c r="A16" s="2" t="str">
        <f>"OPHT"&amp;TEXT(Table47[[#This Row],[Count]],"000")&amp;"."&amp;IF(Table47[[#This Row],[Category]]="Essential","E",IF(Table47[[#This Row],[Category]]="Discretionary","D","O"))</f>
        <v>OPHT011.D</v>
      </c>
      <c r="B16" s="2">
        <f>ROW()-ROW(Table47[[#Headers],[Count]])</f>
        <v>11</v>
      </c>
      <c r="C16" s="2" t="s">
        <v>30</v>
      </c>
      <c r="D16" s="5" t="s">
        <v>1292</v>
      </c>
      <c r="E16" s="2" t="s">
        <v>18</v>
      </c>
      <c r="Q16" s="2" t="s">
        <v>127</v>
      </c>
      <c r="R16" s="5"/>
    </row>
    <row r="17" spans="1:18" ht="30" x14ac:dyDescent="0.25">
      <c r="A17" s="2" t="str">
        <f>"OPHT"&amp;TEXT(Table47[[#This Row],[Count]],"000")&amp;"."&amp;IF(Table47[[#This Row],[Category]]="Essential","E",IF(Table47[[#This Row],[Category]]="Discretionary","D","O"))</f>
        <v>OPHT012.O</v>
      </c>
      <c r="B17" s="2">
        <f>ROW()-ROW(Table47[[#Headers],[Count]])</f>
        <v>12</v>
      </c>
      <c r="C17" s="2" t="s">
        <v>30</v>
      </c>
      <c r="D17" s="5" t="s">
        <v>1293</v>
      </c>
      <c r="E17" s="2" t="s">
        <v>23</v>
      </c>
      <c r="H17" s="2" t="s">
        <v>127</v>
      </c>
      <c r="Q17" s="2"/>
      <c r="R17" s="5" t="s">
        <v>1294</v>
      </c>
    </row>
    <row r="18" spans="1:18" ht="30" x14ac:dyDescent="0.25">
      <c r="A18" s="2" t="str">
        <f>"OPHT"&amp;TEXT(Table47[[#This Row],[Count]],"000")&amp;"."&amp;IF(Table47[[#This Row],[Category]]="Essential","E",IF(Table47[[#This Row],[Category]]="Discretionary","D","O"))</f>
        <v>OPHT013.O</v>
      </c>
      <c r="B18" s="2">
        <f>ROW()-ROW(Table47[[#Headers],[Count]])</f>
        <v>13</v>
      </c>
      <c r="C18" s="2" t="s">
        <v>30</v>
      </c>
      <c r="D18" s="5" t="s">
        <v>1295</v>
      </c>
      <c r="E18" s="2" t="s">
        <v>23</v>
      </c>
      <c r="L18" s="2" t="s">
        <v>127</v>
      </c>
      <c r="M18" s="2" t="s">
        <v>127</v>
      </c>
      <c r="N18" s="2" t="s">
        <v>127</v>
      </c>
      <c r="O18" s="2" t="s">
        <v>127</v>
      </c>
      <c r="P18" s="2" t="s">
        <v>127</v>
      </c>
      <c r="Q18" s="2" t="s">
        <v>127</v>
      </c>
      <c r="R18" s="5" t="s">
        <v>1294</v>
      </c>
    </row>
    <row r="19" spans="1:18" ht="30" x14ac:dyDescent="0.25">
      <c r="A19" s="2" t="str">
        <f>"OPHT"&amp;TEXT(Table47[[#This Row],[Count]],"000")&amp;"."&amp;IF(Table47[[#This Row],[Category]]="Essential","E",IF(Table47[[#This Row],[Category]]="Discretionary","D","O"))</f>
        <v>OPHT014.O</v>
      </c>
      <c r="B19" s="2">
        <f>ROW()-ROW(Table47[[#Headers],[Count]])</f>
        <v>14</v>
      </c>
      <c r="C19" s="2" t="s">
        <v>30</v>
      </c>
      <c r="D19" s="5" t="s">
        <v>1296</v>
      </c>
      <c r="E19" s="2" t="s">
        <v>23</v>
      </c>
      <c r="L19" s="2" t="s">
        <v>127</v>
      </c>
      <c r="M19" s="2" t="s">
        <v>127</v>
      </c>
      <c r="N19" s="2" t="s">
        <v>127</v>
      </c>
      <c r="O19" s="2" t="s">
        <v>127</v>
      </c>
      <c r="P19" s="2" t="s">
        <v>127</v>
      </c>
      <c r="Q19" s="2" t="s">
        <v>127</v>
      </c>
      <c r="R19" s="5" t="s">
        <v>1294</v>
      </c>
    </row>
    <row r="20" spans="1:18" x14ac:dyDescent="0.25">
      <c r="A20" s="2" t="str">
        <f>"OPHT"&amp;TEXT(Table47[[#This Row],[Count]],"000")&amp;"."&amp;IF(Table47[[#This Row],[Category]]="Essential","E",IF(Table47[[#This Row],[Category]]="Discretionary","D","O"))</f>
        <v>OPHT015.D</v>
      </c>
      <c r="B20" s="2">
        <f>ROW()-ROW(Table47[[#Headers],[Count]])</f>
        <v>15</v>
      </c>
      <c r="C20" s="2" t="s">
        <v>30</v>
      </c>
      <c r="D20" s="5" t="s">
        <v>1297</v>
      </c>
      <c r="E20" s="2" t="s">
        <v>18</v>
      </c>
      <c r="L20" s="2" t="s">
        <v>127</v>
      </c>
      <c r="M20" s="2" t="s">
        <v>127</v>
      </c>
      <c r="N20" s="2" t="s">
        <v>127</v>
      </c>
      <c r="O20" s="2" t="s">
        <v>127</v>
      </c>
      <c r="P20" s="2" t="s">
        <v>127</v>
      </c>
      <c r="Q20" s="2" t="s">
        <v>127</v>
      </c>
      <c r="R20" s="5"/>
    </row>
    <row r="21" spans="1:18" x14ac:dyDescent="0.25">
      <c r="A21" s="2" t="str">
        <f>"OPHT"&amp;TEXT(Table47[[#This Row],[Count]],"000")&amp;"."&amp;IF(Table47[[#This Row],[Category]]="Essential","E",IF(Table47[[#This Row],[Category]]="Discretionary","D","O"))</f>
        <v>OPHT016.D</v>
      </c>
      <c r="B21" s="2">
        <f>ROW()-ROW(Table47[[#Headers],[Count]])</f>
        <v>16</v>
      </c>
      <c r="C21" s="2" t="s">
        <v>30</v>
      </c>
      <c r="D21" s="5" t="s">
        <v>1298</v>
      </c>
      <c r="E21" s="2" t="s">
        <v>18</v>
      </c>
      <c r="Q21" s="2"/>
      <c r="R21" s="5"/>
    </row>
    <row r="22" spans="1:18" ht="30" x14ac:dyDescent="0.25">
      <c r="A22" s="2" t="str">
        <f>"OPHT"&amp;TEXT(Table47[[#This Row],[Count]],"000")&amp;"."&amp;IF(Table47[[#This Row],[Category]]="Essential","E",IF(Table47[[#This Row],[Category]]="Discretionary","D","O"))</f>
        <v>OPHT017.D</v>
      </c>
      <c r="B22" s="2">
        <f>ROW()-ROW(Table47[[#Headers],[Count]])</f>
        <v>17</v>
      </c>
      <c r="C22" s="2" t="s">
        <v>30</v>
      </c>
      <c r="D22" s="5" t="s">
        <v>1299</v>
      </c>
      <c r="E22" s="2" t="s">
        <v>18</v>
      </c>
      <c r="H22" s="2" t="s">
        <v>127</v>
      </c>
      <c r="Q22" s="2"/>
      <c r="R22" s="5"/>
    </row>
    <row r="23" spans="1:18" ht="30" x14ac:dyDescent="0.25">
      <c r="A23" s="2" t="str">
        <f>"OPHT"&amp;TEXT(Table47[[#This Row],[Count]],"000")&amp;"."&amp;IF(Table47[[#This Row],[Category]]="Essential","E",IF(Table47[[#This Row],[Category]]="Discretionary","D","O"))</f>
        <v>OPHT018.D</v>
      </c>
      <c r="B23" s="2">
        <f>ROW()-ROW(Table47[[#Headers],[Count]])</f>
        <v>18</v>
      </c>
      <c r="C23" s="2" t="s">
        <v>30</v>
      </c>
      <c r="D23" s="5" t="s">
        <v>1300</v>
      </c>
      <c r="E23" s="2" t="s">
        <v>18</v>
      </c>
      <c r="H23" s="2" t="s">
        <v>127</v>
      </c>
      <c r="Q23" s="2"/>
      <c r="R23" s="5"/>
    </row>
    <row r="24" spans="1:18" ht="30" x14ac:dyDescent="0.25">
      <c r="A24" s="2" t="str">
        <f>"OPHT"&amp;TEXT(Table47[[#This Row],[Count]],"000")&amp;"."&amp;IF(Table47[[#This Row],[Category]]="Essential","E",IF(Table47[[#This Row],[Category]]="Discretionary","D","O"))</f>
        <v>OPHT019.D</v>
      </c>
      <c r="B24" s="2">
        <f>ROW()-ROW(Table47[[#Headers],[Count]])</f>
        <v>19</v>
      </c>
      <c r="C24" s="2" t="s">
        <v>30</v>
      </c>
      <c r="D24" s="5" t="s">
        <v>1301</v>
      </c>
      <c r="E24" s="2" t="s">
        <v>18</v>
      </c>
      <c r="L24" s="2" t="s">
        <v>127</v>
      </c>
      <c r="Q24" s="2"/>
      <c r="R24" s="5" t="s">
        <v>1302</v>
      </c>
    </row>
    <row r="25" spans="1:18" ht="30" x14ac:dyDescent="0.25">
      <c r="A25" s="2" t="str">
        <f>"OPHT"&amp;TEXT(Table47[[#This Row],[Count]],"000")&amp;"."&amp;IF(Table47[[#This Row],[Category]]="Essential","E",IF(Table47[[#This Row],[Category]]="Discretionary","D","O"))</f>
        <v>OPHT020.D</v>
      </c>
      <c r="B25" s="2">
        <f>ROW()-ROW(Table47[[#Headers],[Count]])</f>
        <v>20</v>
      </c>
      <c r="C25" s="2" t="s">
        <v>30</v>
      </c>
      <c r="D25" s="5" t="s">
        <v>1303</v>
      </c>
      <c r="E25" s="2" t="s">
        <v>18</v>
      </c>
      <c r="L25" s="2" t="s">
        <v>127</v>
      </c>
      <c r="M25" s="2" t="s">
        <v>127</v>
      </c>
      <c r="N25" s="2" t="s">
        <v>127</v>
      </c>
      <c r="O25" s="2" t="s">
        <v>127</v>
      </c>
      <c r="P25" s="2" t="s">
        <v>127</v>
      </c>
      <c r="Q25" s="2" t="s">
        <v>127</v>
      </c>
      <c r="R25" s="5"/>
    </row>
    <row r="26" spans="1:18" ht="30" x14ac:dyDescent="0.25">
      <c r="A26" s="2" t="str">
        <f>"OPHT"&amp;TEXT(Table47[[#This Row],[Count]],"000")&amp;"."&amp;IF(Table47[[#This Row],[Category]]="Essential","E",IF(Table47[[#This Row],[Category]]="Discretionary","D","O"))</f>
        <v>OPHT021.D</v>
      </c>
      <c r="B26" s="2">
        <f>ROW()-ROW(Table47[[#Headers],[Count]])</f>
        <v>21</v>
      </c>
      <c r="C26" s="2" t="s">
        <v>30</v>
      </c>
      <c r="D26" s="5" t="s">
        <v>1304</v>
      </c>
      <c r="E26" s="2" t="s">
        <v>18</v>
      </c>
      <c r="Q26" s="2" t="s">
        <v>127</v>
      </c>
      <c r="R26" s="5"/>
    </row>
    <row r="27" spans="1:18" ht="45" x14ac:dyDescent="0.25">
      <c r="A27" s="2" t="str">
        <f>"OPHT"&amp;TEXT(Table47[[#This Row],[Count]],"000")&amp;"."&amp;IF(Table47[[#This Row],[Category]]="Essential","E",IF(Table47[[#This Row],[Category]]="Discretionary","D","O"))</f>
        <v>OPHT022.D</v>
      </c>
      <c r="B27" s="2">
        <f>ROW()-ROW(Table47[[#Headers],[Count]])</f>
        <v>22</v>
      </c>
      <c r="C27" s="2" t="s">
        <v>30</v>
      </c>
      <c r="D27" s="5" t="s">
        <v>1305</v>
      </c>
      <c r="E27" s="2" t="s">
        <v>18</v>
      </c>
      <c r="Q27" s="2" t="s">
        <v>127</v>
      </c>
      <c r="R27" s="5"/>
    </row>
    <row r="28" spans="1:18" x14ac:dyDescent="0.25">
      <c r="A28" s="2" t="str">
        <f>"OPHT"&amp;TEXT(Table47[[#This Row],[Count]],"000")&amp;"."&amp;IF(Table47[[#This Row],[Category]]="Essential","E",IF(Table47[[#This Row],[Category]]="Discretionary","D","O"))</f>
        <v>OPHT023.D</v>
      </c>
      <c r="B28" s="2">
        <f>ROW()-ROW(Table47[[#Headers],[Count]])</f>
        <v>23</v>
      </c>
      <c r="C28" s="2" t="s">
        <v>30</v>
      </c>
      <c r="D28" s="5" t="s">
        <v>1306</v>
      </c>
      <c r="E28" s="2" t="s">
        <v>18</v>
      </c>
      <c r="L28" s="2" t="s">
        <v>127</v>
      </c>
      <c r="M28" s="2" t="s">
        <v>127</v>
      </c>
      <c r="N28" s="2" t="s">
        <v>127</v>
      </c>
      <c r="O28" s="2" t="s">
        <v>127</v>
      </c>
      <c r="P28" s="2" t="s">
        <v>127</v>
      </c>
      <c r="Q28" s="2" t="s">
        <v>127</v>
      </c>
      <c r="R28" s="5"/>
    </row>
    <row r="29" spans="1:18" ht="30" x14ac:dyDescent="0.25">
      <c r="A29" s="2" t="str">
        <f>"OPHT"&amp;TEXT(Table47[[#This Row],[Count]],"000")&amp;"."&amp;IF(Table47[[#This Row],[Category]]="Essential","E",IF(Table47[[#This Row],[Category]]="Discretionary","D","O"))</f>
        <v>OPHT024.D</v>
      </c>
      <c r="B29" s="2">
        <f>ROW()-ROW(Table47[[#Headers],[Count]])</f>
        <v>24</v>
      </c>
      <c r="C29" s="2" t="s">
        <v>30</v>
      </c>
      <c r="D29" s="5" t="s">
        <v>1307</v>
      </c>
      <c r="E29" s="2" t="s">
        <v>18</v>
      </c>
      <c r="N29" s="2" t="s">
        <v>127</v>
      </c>
      <c r="O29" s="2" t="s">
        <v>127</v>
      </c>
      <c r="P29" s="2" t="s">
        <v>127</v>
      </c>
      <c r="Q29" s="2" t="s">
        <v>127</v>
      </c>
      <c r="R29" s="5"/>
    </row>
    <row r="30" spans="1:18" ht="30" x14ac:dyDescent="0.25">
      <c r="A30" s="2" t="str">
        <f>"OPHT"&amp;TEXT(Table47[[#This Row],[Count]],"000")&amp;"."&amp;IF(Table47[[#This Row],[Category]]="Essential","E",IF(Table47[[#This Row],[Category]]="Discretionary","D","O"))</f>
        <v>OPHT025.D</v>
      </c>
      <c r="B30" s="2">
        <f>ROW()-ROW(Table47[[#Headers],[Count]])</f>
        <v>25</v>
      </c>
      <c r="C30" s="2" t="s">
        <v>30</v>
      </c>
      <c r="D30" s="5" t="s">
        <v>1308</v>
      </c>
      <c r="E30" s="2" t="s">
        <v>18</v>
      </c>
      <c r="N30" s="2" t="s">
        <v>127</v>
      </c>
      <c r="O30" s="2" t="s">
        <v>127</v>
      </c>
      <c r="P30" s="2" t="s">
        <v>127</v>
      </c>
      <c r="Q30" s="2" t="s">
        <v>127</v>
      </c>
      <c r="R30" s="5"/>
    </row>
    <row r="31" spans="1:18" ht="30" x14ac:dyDescent="0.25">
      <c r="A31" s="2" t="str">
        <f>"OPHT"&amp;TEXT(Table47[[#This Row],[Count]],"000")&amp;"."&amp;IF(Table47[[#This Row],[Category]]="Essential","E",IF(Table47[[#This Row],[Category]]="Discretionary","D","O"))</f>
        <v>OPHT026.D</v>
      </c>
      <c r="B31" s="2">
        <f>ROW()-ROW(Table47[[#Headers],[Count]])</f>
        <v>26</v>
      </c>
      <c r="C31" s="2" t="s">
        <v>30</v>
      </c>
      <c r="D31" s="5" t="s">
        <v>1309</v>
      </c>
      <c r="E31" s="2" t="s">
        <v>18</v>
      </c>
      <c r="H31" s="2" t="s">
        <v>127</v>
      </c>
      <c r="Q31" s="2"/>
      <c r="R31" s="5"/>
    </row>
    <row r="32" spans="1:18" ht="30" x14ac:dyDescent="0.25">
      <c r="A32" s="2" t="str">
        <f>"OPHT"&amp;TEXT(Table47[[#This Row],[Count]],"000")&amp;"."&amp;IF(Table47[[#This Row],[Category]]="Essential","E",IF(Table47[[#This Row],[Category]]="Discretionary","D","O"))</f>
        <v>OPHT027.D</v>
      </c>
      <c r="B32" s="2">
        <f>ROW()-ROW(Table47[[#Headers],[Count]])</f>
        <v>27</v>
      </c>
      <c r="C32" s="2" t="s">
        <v>30</v>
      </c>
      <c r="D32" s="5" t="s">
        <v>1310</v>
      </c>
      <c r="E32" s="2" t="s">
        <v>18</v>
      </c>
      <c r="O32" s="2" t="s">
        <v>127</v>
      </c>
      <c r="P32" s="2" t="s">
        <v>127</v>
      </c>
      <c r="Q32" s="2" t="s">
        <v>127</v>
      </c>
      <c r="R32" s="5"/>
    </row>
    <row r="33" spans="1:18" ht="30" x14ac:dyDescent="0.25">
      <c r="A33" s="2" t="str">
        <f>"OPHT"&amp;TEXT(Table47[[#This Row],[Count]],"000")&amp;"."&amp;IF(Table47[[#This Row],[Category]]="Essential","E",IF(Table47[[#This Row],[Category]]="Discretionary","D","O"))</f>
        <v>OPHT028.D</v>
      </c>
      <c r="B33" s="2">
        <f>ROW()-ROW(Table47[[#Headers],[Count]])</f>
        <v>28</v>
      </c>
      <c r="C33" s="2" t="s">
        <v>30</v>
      </c>
      <c r="D33" s="5" t="s">
        <v>1311</v>
      </c>
      <c r="E33" s="2" t="s">
        <v>18</v>
      </c>
      <c r="N33" s="2" t="s">
        <v>127</v>
      </c>
      <c r="O33" s="2" t="s">
        <v>127</v>
      </c>
      <c r="P33" s="2" t="s">
        <v>127</v>
      </c>
      <c r="Q33" s="2" t="s">
        <v>127</v>
      </c>
      <c r="R33" s="5"/>
    </row>
    <row r="34" spans="1:18" x14ac:dyDescent="0.25">
      <c r="A34" s="2" t="str">
        <f>"OPHT"&amp;TEXT(Table47[[#This Row],[Count]],"000")&amp;"."&amp;IF(Table47[[#This Row],[Category]]="Essential","E",IF(Table47[[#This Row],[Category]]="Discretionary","D","O"))</f>
        <v>OPHT029.D</v>
      </c>
      <c r="B34" s="2">
        <f>ROW()-ROW(Table47[[#Headers],[Count]])</f>
        <v>29</v>
      </c>
      <c r="C34" s="2" t="s">
        <v>30</v>
      </c>
      <c r="D34" s="5" t="s">
        <v>1312</v>
      </c>
      <c r="E34" s="2" t="s">
        <v>18</v>
      </c>
      <c r="H34" s="2" t="s">
        <v>127</v>
      </c>
      <c r="Q34" s="2"/>
      <c r="R34" s="5"/>
    </row>
    <row r="35" spans="1:18" x14ac:dyDescent="0.25">
      <c r="A35" s="2" t="str">
        <f>"OPHT"&amp;TEXT(Table47[[#This Row],[Count]],"000")&amp;"."&amp;IF(Table47[[#This Row],[Category]]="Essential","E",IF(Table47[[#This Row],[Category]]="Discretionary","D","O"))</f>
        <v>OPHT030.D</v>
      </c>
      <c r="B35" s="2">
        <f>ROW()-ROW(Table47[[#Headers],[Count]])</f>
        <v>30</v>
      </c>
      <c r="C35" s="2" t="s">
        <v>30</v>
      </c>
      <c r="D35" s="5" t="s">
        <v>1313</v>
      </c>
      <c r="E35" s="2" t="s">
        <v>18</v>
      </c>
      <c r="O35" s="2" t="s">
        <v>127</v>
      </c>
      <c r="P35" s="2" t="s">
        <v>127</v>
      </c>
      <c r="Q35" s="2" t="s">
        <v>127</v>
      </c>
      <c r="R35" s="5" t="s">
        <v>1314</v>
      </c>
    </row>
    <row r="36" spans="1:18" x14ac:dyDescent="0.25">
      <c r="A36" s="2" t="str">
        <f>"OPHT"&amp;TEXT(Table47[[#This Row],[Count]],"000")&amp;"."&amp;IF(Table47[[#This Row],[Category]]="Essential","E",IF(Table47[[#This Row],[Category]]="Discretionary","D","O"))</f>
        <v>OPHT031.D</v>
      </c>
      <c r="B36" s="2">
        <f>ROW()-ROW(Table47[[#Headers],[Count]])</f>
        <v>31</v>
      </c>
      <c r="C36" s="2" t="s">
        <v>30</v>
      </c>
      <c r="D36" s="5" t="s">
        <v>1315</v>
      </c>
      <c r="E36" s="2" t="s">
        <v>18</v>
      </c>
      <c r="H36" s="2" t="s">
        <v>127</v>
      </c>
      <c r="Q36" s="2"/>
      <c r="R36" s="5"/>
    </row>
    <row r="37" spans="1:18" ht="45" x14ac:dyDescent="0.25">
      <c r="A37" s="2" t="str">
        <f>"OPHT"&amp;TEXT(Table47[[#This Row],[Count]],"000")&amp;"."&amp;IF(Table47[[#This Row],[Category]]="Essential","E",IF(Table47[[#This Row],[Category]]="Discretionary","D","O"))</f>
        <v>OPHT032.D</v>
      </c>
      <c r="B37" s="2">
        <f>ROW()-ROW(Table47[[#Headers],[Count]])</f>
        <v>32</v>
      </c>
      <c r="C37" s="2" t="s">
        <v>30</v>
      </c>
      <c r="D37" s="5" t="s">
        <v>1316</v>
      </c>
      <c r="E37" s="2" t="s">
        <v>18</v>
      </c>
      <c r="P37" s="2" t="s">
        <v>127</v>
      </c>
      <c r="Q37" s="2" t="s">
        <v>127</v>
      </c>
      <c r="R37" s="5" t="s">
        <v>1317</v>
      </c>
    </row>
    <row r="38" spans="1:18" x14ac:dyDescent="0.25">
      <c r="A38" s="2" t="str">
        <f>"OPHT"&amp;TEXT(Table47[[#This Row],[Count]],"000")&amp;"."&amp;IF(Table47[[#This Row],[Category]]="Essential","E",IF(Table47[[#This Row],[Category]]="Discretionary","D","O"))</f>
        <v>OPHT033.D</v>
      </c>
      <c r="B38" s="2">
        <f>ROW()-ROW(Table47[[#Headers],[Count]])</f>
        <v>33</v>
      </c>
      <c r="C38" s="2" t="s">
        <v>30</v>
      </c>
      <c r="D38" s="5" t="s">
        <v>1318</v>
      </c>
      <c r="E38" s="2" t="s">
        <v>18</v>
      </c>
      <c r="H38" s="2" t="s">
        <v>127</v>
      </c>
      <c r="Q38" s="2"/>
      <c r="R38" s="5"/>
    </row>
    <row r="39" spans="1:18" ht="24" customHeight="1" x14ac:dyDescent="0.25">
      <c r="A39" s="2" t="str">
        <f>"OPHT"&amp;TEXT(Table47[[#This Row],[Count]],"000")&amp;"."&amp;IF(Table47[[#This Row],[Category]]="Essential","E",IF(Table47[[#This Row],[Category]]="Discretionary","D","O"))</f>
        <v>OPHT034.D</v>
      </c>
      <c r="B39" s="2">
        <f>ROW()-ROW(Table47[[#Headers],[Count]])</f>
        <v>34</v>
      </c>
      <c r="C39" s="2" t="s">
        <v>30</v>
      </c>
      <c r="D39" s="5" t="s">
        <v>1319</v>
      </c>
      <c r="E39" s="2" t="s">
        <v>18</v>
      </c>
      <c r="H39" s="2" t="s">
        <v>127</v>
      </c>
      <c r="Q39" s="2"/>
      <c r="R39" s="5"/>
    </row>
    <row r="40" spans="1:18" x14ac:dyDescent="0.25">
      <c r="A40" s="2" t="str">
        <f>"OPHT"&amp;TEXT(Table47[[#This Row],[Count]],"000")&amp;"."&amp;IF(Table47[[#This Row],[Category]]="Essential","E",IF(Table47[[#This Row],[Category]]="Discretionary","D","O"))</f>
        <v>OPHT035.D</v>
      </c>
      <c r="B40" s="2">
        <f>ROW()-ROW(Table47[[#Headers],[Count]])</f>
        <v>35</v>
      </c>
      <c r="C40" s="2" t="s">
        <v>30</v>
      </c>
      <c r="D40" s="5" t="s">
        <v>1320</v>
      </c>
      <c r="E40" s="2" t="s">
        <v>18</v>
      </c>
      <c r="Q40" s="2"/>
      <c r="R40" s="5"/>
    </row>
    <row r="41" spans="1:18" ht="30" x14ac:dyDescent="0.25">
      <c r="A41" s="2" t="str">
        <f>"OPHT"&amp;TEXT(Table47[[#This Row],[Count]],"000")&amp;"."&amp;IF(Table47[[#This Row],[Category]]="Essential","E",IF(Table47[[#This Row],[Category]]="Discretionary","D","O"))</f>
        <v>OPHT036.D</v>
      </c>
      <c r="B41" s="2">
        <f>ROW()-ROW(Table47[[#Headers],[Count]])</f>
        <v>36</v>
      </c>
      <c r="C41" s="2" t="s">
        <v>30</v>
      </c>
      <c r="D41" s="5" t="s">
        <v>1321</v>
      </c>
      <c r="E41" s="2" t="s">
        <v>18</v>
      </c>
      <c r="H41" s="2" t="s">
        <v>127</v>
      </c>
      <c r="Q41" s="2"/>
      <c r="R41" s="5"/>
    </row>
    <row r="42" spans="1:18" ht="45" x14ac:dyDescent="0.25">
      <c r="A42" s="2" t="str">
        <f>"OPHT"&amp;TEXT(Table47[[#This Row],[Count]],"000")&amp;"."&amp;IF(Table47[[#This Row],[Category]]="Essential","E",IF(Table47[[#This Row],[Category]]="Discretionary","D","O"))</f>
        <v>OPHT037.D</v>
      </c>
      <c r="B42" s="2">
        <f>ROW()-ROW(Table47[[#Headers],[Count]])</f>
        <v>37</v>
      </c>
      <c r="C42" s="2" t="s">
        <v>30</v>
      </c>
      <c r="D42" s="5" t="s">
        <v>1322</v>
      </c>
      <c r="E42" s="2" t="s">
        <v>18</v>
      </c>
      <c r="H42" s="2" t="s">
        <v>127</v>
      </c>
      <c r="Q42" s="2"/>
      <c r="R42" s="5"/>
    </row>
    <row r="43" spans="1:18" ht="45" x14ac:dyDescent="0.25">
      <c r="A43" s="2" t="str">
        <f>"OPHT"&amp;TEXT(Table47[[#This Row],[Count]],"000")&amp;"."&amp;IF(Table47[[#This Row],[Category]]="Essential","E",IF(Table47[[#This Row],[Category]]="Discretionary","D","O"))</f>
        <v>OPHT038.D</v>
      </c>
      <c r="B43" s="2">
        <f>ROW()-ROW(Table47[[#Headers],[Count]])</f>
        <v>38</v>
      </c>
      <c r="C43" s="2" t="s">
        <v>30</v>
      </c>
      <c r="D43" s="5" t="s">
        <v>1323</v>
      </c>
      <c r="E43" s="2" t="s">
        <v>18</v>
      </c>
      <c r="L43" s="2" t="s">
        <v>127</v>
      </c>
      <c r="M43" s="2" t="s">
        <v>127</v>
      </c>
      <c r="N43" s="2" t="s">
        <v>127</v>
      </c>
      <c r="O43" s="2" t="s">
        <v>127</v>
      </c>
      <c r="P43" s="2" t="s">
        <v>127</v>
      </c>
      <c r="Q43" s="2" t="s">
        <v>127</v>
      </c>
      <c r="R43" s="5"/>
    </row>
    <row r="44" spans="1:18" ht="30" x14ac:dyDescent="0.25">
      <c r="A44" s="2" t="str">
        <f>"OPHT"&amp;TEXT(Table47[[#This Row],[Count]],"000")&amp;"."&amp;IF(Table47[[#This Row],[Category]]="Essential","E",IF(Table47[[#This Row],[Category]]="Discretionary","D","O"))</f>
        <v>OPHT039.D</v>
      </c>
      <c r="B44" s="2">
        <f>ROW()-ROW(Table47[[#Headers],[Count]])</f>
        <v>39</v>
      </c>
      <c r="C44" s="2" t="s">
        <v>30</v>
      </c>
      <c r="D44" s="5" t="s">
        <v>1324</v>
      </c>
      <c r="E44" s="2" t="s">
        <v>18</v>
      </c>
      <c r="Q44" s="2" t="s">
        <v>127</v>
      </c>
      <c r="R44" s="5"/>
    </row>
  </sheetData>
  <mergeCells count="3">
    <mergeCell ref="A1:R1"/>
    <mergeCell ref="A3:R3"/>
    <mergeCell ref="A2:R2"/>
  </mergeCells>
  <phoneticPr fontId="3" type="noConversion"/>
  <conditionalFormatting sqref="E6:E500">
    <cfRule type="containsText" dxfId="162" priority="1" operator="containsText" text="Other">
      <formula>NOT(ISERROR(SEARCH("Other",E6)))</formula>
    </cfRule>
    <cfRule type="containsText" dxfId="161" priority="3" operator="containsText" text="Discretionary">
      <formula>NOT(ISERROR(SEARCH("Discretionary",E6)))</formula>
    </cfRule>
    <cfRule type="containsText" dxfId="160" priority="4" operator="containsText" text="Essential">
      <formula>NOT(ISERROR(SEARCH("Essential",E6)))</formula>
    </cfRule>
  </conditionalFormatting>
  <conditionalFormatting sqref="E45:P656 F6:Q44">
    <cfRule type="containsText" dxfId="159" priority="5" operator="containsText" text="x">
      <formula>NOT(ISERROR(SEARCH("x",E6)))</formula>
    </cfRule>
  </conditionalFormatting>
  <dataValidations count="1">
    <dataValidation type="list" allowBlank="1" showInputMessage="1" showErrorMessage="1" sqref="E6:E44" xr:uid="{6B4D1714-35D4-4A72-B41A-49507F693B95}">
      <formula1>Cats</formula1>
    </dataValidation>
  </dataValidations>
  <pageMargins left="0.7" right="0.7" top="0.75" bottom="0.75" header="0.3" footer="0.3"/>
  <pageSetup paperSize="9" scale="48" fitToHeight="0" orientation="landscape" r:id="rId1"/>
  <headerFooter>
    <oddFooter>&amp;C&amp;P</oddFooter>
  </headerFooter>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E49B5-B037-4287-AADA-1F02A35AD05D}">
  <sheetPr>
    <pageSetUpPr fitToPage="1"/>
  </sheetPr>
  <dimension ref="A1:R263"/>
  <sheetViews>
    <sheetView view="pageLayout" topLeftCell="A244" zoomScaleNormal="100" workbookViewId="0">
      <selection activeCell="B1" sqref="B1:B1048576"/>
    </sheetView>
  </sheetViews>
  <sheetFormatPr defaultRowHeight="15" x14ac:dyDescent="0.25"/>
  <cols>
    <col min="1" max="1" width="17.42578125" style="2" customWidth="1"/>
    <col min="2" max="2" width="11.140625" style="2" hidden="1" customWidth="1"/>
    <col min="3" max="3" width="25" style="5" customWidth="1"/>
    <col min="4" max="4" width="37.42578125" style="5" customWidth="1"/>
    <col min="5" max="5" width="13.7109375" style="2" bestFit="1" customWidth="1"/>
    <col min="6" max="16" width="9.140625" style="2"/>
    <col min="17" max="17" width="9.140625" style="5" customWidth="1"/>
    <col min="18" max="18" width="68.5703125" style="5" customWidth="1"/>
  </cols>
  <sheetData>
    <row r="1" spans="1:18" ht="31.5" x14ac:dyDescent="0.5">
      <c r="A1" s="57" t="s">
        <v>37</v>
      </c>
      <c r="B1" s="57"/>
      <c r="C1" s="57"/>
      <c r="D1" s="57"/>
      <c r="E1" s="57"/>
      <c r="F1" s="57"/>
      <c r="G1" s="57"/>
      <c r="H1" s="57"/>
      <c r="I1" s="57"/>
      <c r="J1" s="57"/>
      <c r="K1" s="57"/>
      <c r="L1" s="57"/>
      <c r="M1" s="57"/>
      <c r="N1" s="57"/>
      <c r="O1" s="57"/>
      <c r="P1" s="57"/>
      <c r="Q1" s="57"/>
      <c r="R1" s="57"/>
    </row>
    <row r="2" spans="1:18" ht="46.5" customHeight="1" x14ac:dyDescent="0.25">
      <c r="A2" s="59" t="s">
        <v>152</v>
      </c>
      <c r="B2" s="59"/>
      <c r="C2" s="59"/>
      <c r="D2" s="59"/>
      <c r="E2" s="59"/>
      <c r="F2" s="59"/>
      <c r="G2" s="59"/>
      <c r="H2" s="59"/>
      <c r="I2" s="59"/>
      <c r="J2" s="59"/>
      <c r="K2" s="59"/>
      <c r="L2" s="59"/>
      <c r="M2" s="59"/>
      <c r="N2" s="59"/>
      <c r="O2" s="59"/>
      <c r="P2" s="59"/>
      <c r="Q2" s="59"/>
      <c r="R2" s="59"/>
    </row>
    <row r="3" spans="1:18" x14ac:dyDescent="0.25">
      <c r="A3" s="58" t="s">
        <v>40</v>
      </c>
      <c r="B3" s="58"/>
      <c r="C3" s="58"/>
      <c r="D3" s="58"/>
      <c r="E3" s="58"/>
      <c r="F3" s="58"/>
      <c r="G3" s="58"/>
      <c r="H3" s="58"/>
      <c r="I3" s="58"/>
      <c r="J3" s="58"/>
      <c r="K3" s="58"/>
      <c r="L3" s="58"/>
      <c r="M3" s="58"/>
      <c r="N3" s="58"/>
      <c r="O3" s="58"/>
      <c r="P3" s="58"/>
      <c r="Q3" s="58"/>
      <c r="R3" s="58"/>
    </row>
    <row r="5" spans="1:18" x14ac:dyDescent="0.25">
      <c r="A5" s="4" t="s">
        <v>120</v>
      </c>
      <c r="B5" s="4"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"PAEDS"&amp;TEXT(Table48[[#This Row],[Count]],"000")&amp;"."&amp;IF(Table48[[#This Row],[Category]]="Essential","E",IF(Table48[[#This Row],[Category]]="Discretionary","D","O"))</f>
        <v>PAEDS001.E</v>
      </c>
      <c r="B6" s="2">
        <f>ROW()-ROW(Table48[[#Headers],[Count]])</f>
        <v>1</v>
      </c>
      <c r="C6" s="5" t="s">
        <v>40</v>
      </c>
      <c r="D6" s="5" t="s">
        <v>1325</v>
      </c>
      <c r="E6" s="16" t="s">
        <v>13</v>
      </c>
      <c r="N6" s="2" t="s">
        <v>127</v>
      </c>
      <c r="O6" s="2" t="s">
        <v>127</v>
      </c>
      <c r="P6" s="2" t="s">
        <v>127</v>
      </c>
      <c r="Q6" s="2" t="s">
        <v>127</v>
      </c>
    </row>
    <row r="7" spans="1:18" ht="34.5" customHeight="1" x14ac:dyDescent="0.25">
      <c r="A7" s="2" t="str">
        <f>"PAEDS"&amp;TEXT(Table48[[#This Row],[Count]],"000")&amp;"."&amp;IF(Table48[[#This Row],[Category]]="Essential","E",IF(Table48[[#This Row],[Category]]="Discretionary","D","O"))</f>
        <v>PAEDS002.E</v>
      </c>
      <c r="B7" s="2">
        <f>ROW()-ROW(Table48[[#Headers],[Count]])</f>
        <v>2</v>
      </c>
      <c r="C7" s="5" t="s">
        <v>40</v>
      </c>
      <c r="D7" s="5" t="s">
        <v>1326</v>
      </c>
      <c r="E7" s="16" t="s">
        <v>13</v>
      </c>
      <c r="N7" s="2" t="s">
        <v>127</v>
      </c>
      <c r="O7" s="2" t="s">
        <v>127</v>
      </c>
      <c r="P7" s="2" t="s">
        <v>127</v>
      </c>
      <c r="Q7" s="2" t="s">
        <v>127</v>
      </c>
    </row>
    <row r="8" spans="1:18" ht="30" x14ac:dyDescent="0.25">
      <c r="A8" s="2" t="str">
        <f>"PAEDS"&amp;TEXT(Table48[[#This Row],[Count]],"000")&amp;"."&amp;IF(Table48[[#This Row],[Category]]="Essential","E",IF(Table48[[#This Row],[Category]]="Discretionary","D","O"))</f>
        <v>PAEDS003.E</v>
      </c>
      <c r="B8" s="2">
        <f>ROW()-ROW(Table48[[#Headers],[Count]])</f>
        <v>3</v>
      </c>
      <c r="C8" s="5" t="s">
        <v>40</v>
      </c>
      <c r="D8" s="5" t="s">
        <v>1327</v>
      </c>
      <c r="E8" s="16" t="s">
        <v>13</v>
      </c>
      <c r="F8" s="2" t="s">
        <v>127</v>
      </c>
      <c r="Q8" s="2"/>
      <c r="R8" s="5" t="s">
        <v>1328</v>
      </c>
    </row>
    <row r="9" spans="1:18" x14ac:dyDescent="0.25">
      <c r="A9" s="2" t="str">
        <f>"PAEDS"&amp;TEXT(Table48[[#This Row],[Count]],"000")&amp;"."&amp;IF(Table48[[#This Row],[Category]]="Essential","E",IF(Table48[[#This Row],[Category]]="Discretionary","D","O"))</f>
        <v>PAEDS004.E</v>
      </c>
      <c r="B9" s="2">
        <f>ROW()-ROW(Table48[[#Headers],[Count]])</f>
        <v>4</v>
      </c>
      <c r="C9" s="5" t="s">
        <v>40</v>
      </c>
      <c r="D9" s="5" t="s">
        <v>1329</v>
      </c>
      <c r="E9" s="16" t="s">
        <v>13</v>
      </c>
      <c r="N9" s="2" t="s">
        <v>127</v>
      </c>
      <c r="O9" s="2" t="s">
        <v>127</v>
      </c>
      <c r="P9" s="2" t="s">
        <v>127</v>
      </c>
      <c r="Q9" s="2" t="s">
        <v>127</v>
      </c>
      <c r="R9" s="5" t="s">
        <v>1330</v>
      </c>
    </row>
    <row r="11" spans="1:18" x14ac:dyDescent="0.25">
      <c r="A11" s="58" t="s">
        <v>43</v>
      </c>
      <c r="B11" s="58"/>
      <c r="C11" s="58"/>
      <c r="D11" s="58"/>
      <c r="E11" s="58"/>
      <c r="F11" s="58"/>
      <c r="G11" s="58"/>
      <c r="H11" s="58"/>
      <c r="I11" s="58"/>
      <c r="J11" s="58"/>
      <c r="K11" s="58"/>
      <c r="L11" s="58"/>
      <c r="M11" s="58"/>
      <c r="N11" s="58"/>
      <c r="O11" s="58"/>
      <c r="P11" s="58"/>
      <c r="Q11" s="58"/>
      <c r="R11" s="58"/>
    </row>
    <row r="13" spans="1:18" x14ac:dyDescent="0.25">
      <c r="A13" s="6" t="s">
        <v>120</v>
      </c>
      <c r="B13" s="6" t="s">
        <v>121</v>
      </c>
      <c r="C13" s="7" t="s">
        <v>122</v>
      </c>
      <c r="D13" s="7" t="s">
        <v>123</v>
      </c>
      <c r="E13" s="6" t="s">
        <v>8</v>
      </c>
      <c r="F13" s="6" t="s">
        <v>124</v>
      </c>
      <c r="G13" s="6" t="s">
        <v>154</v>
      </c>
      <c r="H13" s="6" t="s">
        <v>155</v>
      </c>
      <c r="I13" s="6" t="s">
        <v>156</v>
      </c>
      <c r="J13" s="6" t="s">
        <v>157</v>
      </c>
      <c r="K13" s="6" t="s">
        <v>158</v>
      </c>
      <c r="L13" s="6" t="s">
        <v>159</v>
      </c>
      <c r="M13" s="6" t="s">
        <v>160</v>
      </c>
      <c r="N13" s="6" t="s">
        <v>161</v>
      </c>
      <c r="O13" s="6" t="s">
        <v>162</v>
      </c>
      <c r="P13" s="6" t="s">
        <v>163</v>
      </c>
      <c r="Q13" s="6" t="s">
        <v>164</v>
      </c>
      <c r="R13" s="7" t="s">
        <v>125</v>
      </c>
    </row>
    <row r="14" spans="1:18" ht="30" x14ac:dyDescent="0.25">
      <c r="A14" s="5" t="str">
        <f>"PAEDS"&amp;TEXT(Table49[[#This Row],[Count]],"000")&amp;"."&amp;IF(Table49[[#This Row],[Category]]="Essential","E",IF(Table49[[#This Row],[Category]]="Discretionary","D","O"))</f>
        <v>PAEDS005.E</v>
      </c>
      <c r="B14" s="5">
        <f>MAX(Table48[Count])+ROWS(INDEX(Table49[Count],1):Table49[[#This Row],[Count]])</f>
        <v>5</v>
      </c>
      <c r="C14" s="5" t="s">
        <v>43</v>
      </c>
      <c r="D14" s="5" t="s">
        <v>1331</v>
      </c>
      <c r="E14" s="16" t="s">
        <v>13</v>
      </c>
      <c r="F14" s="5"/>
      <c r="G14" s="5"/>
      <c r="H14" s="5"/>
      <c r="I14" s="5"/>
      <c r="J14" s="5"/>
      <c r="K14" s="5"/>
      <c r="L14" s="5"/>
      <c r="M14" s="5"/>
      <c r="N14" s="2" t="s">
        <v>127</v>
      </c>
      <c r="O14" s="2" t="s">
        <v>127</v>
      </c>
      <c r="P14" s="2" t="s">
        <v>127</v>
      </c>
      <c r="Q14" s="2" t="s">
        <v>127</v>
      </c>
      <c r="R14" s="5" t="s">
        <v>1332</v>
      </c>
    </row>
    <row r="16" spans="1:18" x14ac:dyDescent="0.25">
      <c r="A16" s="58" t="s">
        <v>46</v>
      </c>
      <c r="B16" s="58"/>
      <c r="C16" s="58"/>
      <c r="D16" s="58"/>
      <c r="E16" s="58"/>
      <c r="F16" s="58"/>
      <c r="G16" s="58"/>
      <c r="H16" s="58"/>
      <c r="I16" s="58"/>
      <c r="J16" s="58"/>
      <c r="K16" s="58"/>
      <c r="L16" s="58"/>
      <c r="M16" s="58"/>
      <c r="N16" s="58"/>
      <c r="O16" s="58"/>
      <c r="P16" s="58"/>
      <c r="Q16" s="58"/>
      <c r="R16" s="58"/>
    </row>
    <row r="18" spans="1:18" x14ac:dyDescent="0.25">
      <c r="A18" s="6" t="s">
        <v>120</v>
      </c>
      <c r="B18" s="6" t="s">
        <v>121</v>
      </c>
      <c r="C18" s="7" t="s">
        <v>122</v>
      </c>
      <c r="D18" s="7" t="s">
        <v>123</v>
      </c>
      <c r="E18" s="6" t="s">
        <v>8</v>
      </c>
      <c r="F18" s="6" t="s">
        <v>124</v>
      </c>
      <c r="G18" s="6" t="s">
        <v>154</v>
      </c>
      <c r="H18" s="6" t="s">
        <v>155</v>
      </c>
      <c r="I18" s="6" t="s">
        <v>156</v>
      </c>
      <c r="J18" s="6" t="s">
        <v>157</v>
      </c>
      <c r="K18" s="6" t="s">
        <v>158</v>
      </c>
      <c r="L18" s="6" t="s">
        <v>159</v>
      </c>
      <c r="M18" s="6" t="s">
        <v>160</v>
      </c>
      <c r="N18" s="6" t="s">
        <v>161</v>
      </c>
      <c r="O18" s="6" t="s">
        <v>162</v>
      </c>
      <c r="P18" s="6" t="s">
        <v>163</v>
      </c>
      <c r="Q18" s="6" t="s">
        <v>164</v>
      </c>
      <c r="R18" s="7" t="s">
        <v>125</v>
      </c>
    </row>
    <row r="19" spans="1:18" ht="30" x14ac:dyDescent="0.25">
      <c r="A19" s="5" t="str">
        <f>"PAED"&amp;TEXT(Table50[[#This Row],[Count]],"000")&amp;"."&amp;IF(Table50[[#This Row],[Category]]="Essential","E",IF(Table50[[#This Row],[Category]]="Discretionary","D","O"))</f>
        <v>PAED006.E</v>
      </c>
      <c r="B19" s="5">
        <f>MAX(Table49[Count])+ROWS(INDEX(Table50[Count],1):Table50[[#This Row],[Count]])</f>
        <v>6</v>
      </c>
      <c r="C19" s="5" t="s">
        <v>46</v>
      </c>
      <c r="D19" s="5" t="s">
        <v>1333</v>
      </c>
      <c r="E19" s="16" t="s">
        <v>13</v>
      </c>
      <c r="F19" s="5"/>
      <c r="G19" s="5"/>
      <c r="H19" s="5"/>
      <c r="I19" s="5"/>
      <c r="J19" s="5"/>
      <c r="K19" s="5"/>
      <c r="L19" s="5" t="s">
        <v>127</v>
      </c>
      <c r="M19" s="5" t="s">
        <v>127</v>
      </c>
      <c r="N19" s="5" t="s">
        <v>127</v>
      </c>
      <c r="O19" s="5" t="s">
        <v>127</v>
      </c>
      <c r="P19" s="5" t="s">
        <v>127</v>
      </c>
      <c r="Q19" s="5" t="s">
        <v>127</v>
      </c>
      <c r="R19" s="5" t="s">
        <v>1334</v>
      </c>
    </row>
    <row r="20" spans="1:18" ht="30" x14ac:dyDescent="0.25">
      <c r="A20" s="5" t="str">
        <f>"PAED"&amp;TEXT(Table50[[#This Row],[Count]],"000")&amp;"."&amp;IF(Table50[[#This Row],[Category]]="Essential","E",IF(Table50[[#This Row],[Category]]="Discretionary","D","O"))</f>
        <v>PAED007.E</v>
      </c>
      <c r="B20" s="5">
        <f>MAX(Table49[Count])+ROWS(INDEX(Table50[Count],1):Table50[[#This Row],[Count]])</f>
        <v>7</v>
      </c>
      <c r="C20" s="5" t="s">
        <v>46</v>
      </c>
      <c r="D20" s="5" t="s">
        <v>1335</v>
      </c>
      <c r="E20" s="16" t="s">
        <v>13</v>
      </c>
      <c r="F20" s="5"/>
      <c r="G20" s="5"/>
      <c r="H20" s="5"/>
      <c r="I20" s="5"/>
      <c r="J20" s="5"/>
      <c r="K20" s="5"/>
      <c r="L20" s="5" t="s">
        <v>127</v>
      </c>
      <c r="M20" s="5" t="s">
        <v>127</v>
      </c>
      <c r="N20" s="5" t="s">
        <v>127</v>
      </c>
      <c r="O20" s="5" t="s">
        <v>127</v>
      </c>
      <c r="P20" s="5" t="s">
        <v>127</v>
      </c>
      <c r="Q20" s="5" t="s">
        <v>127</v>
      </c>
    </row>
    <row r="21" spans="1:18" x14ac:dyDescent="0.25">
      <c r="A21" s="5" t="str">
        <f>"PAED"&amp;TEXT(Table50[[#This Row],[Count]],"000")&amp;"."&amp;IF(Table50[[#This Row],[Category]]="Essential","E",IF(Table50[[#This Row],[Category]]="Discretionary","D","O"))</f>
        <v>PAED008.E</v>
      </c>
      <c r="B21" s="5">
        <f>MAX(Table49[Count])+ROWS(INDEX(Table50[Count],1):Table50[[#This Row],[Count]])</f>
        <v>8</v>
      </c>
      <c r="C21" s="5" t="s">
        <v>46</v>
      </c>
      <c r="D21" s="5" t="s">
        <v>1336</v>
      </c>
      <c r="E21" s="16" t="s">
        <v>13</v>
      </c>
      <c r="F21" s="5"/>
      <c r="G21" s="5"/>
      <c r="H21" s="5"/>
      <c r="I21" s="5"/>
      <c r="J21" s="5"/>
      <c r="K21" s="5"/>
      <c r="L21" s="5" t="s">
        <v>127</v>
      </c>
      <c r="M21" s="5" t="s">
        <v>127</v>
      </c>
      <c r="N21" s="5" t="s">
        <v>127</v>
      </c>
      <c r="O21" s="5" t="s">
        <v>127</v>
      </c>
      <c r="P21" s="5" t="s">
        <v>127</v>
      </c>
      <c r="Q21" s="5" t="s">
        <v>127</v>
      </c>
    </row>
    <row r="22" spans="1:18" x14ac:dyDescent="0.25">
      <c r="A22" s="5" t="str">
        <f>"PAED"&amp;TEXT(Table50[[#This Row],[Count]],"000")&amp;"."&amp;IF(Table50[[#This Row],[Category]]="Essential","E",IF(Table50[[#This Row],[Category]]="Discretionary","D","O"))</f>
        <v>PAED009.D</v>
      </c>
      <c r="B22" s="5">
        <f>MAX(Table49[Count])+ROWS(INDEX(Table50[Count],1):Table50[[#This Row],[Count]])</f>
        <v>9</v>
      </c>
      <c r="C22" s="5" t="s">
        <v>46</v>
      </c>
      <c r="D22" s="5" t="s">
        <v>1337</v>
      </c>
      <c r="E22" s="18" t="s">
        <v>18</v>
      </c>
      <c r="F22" s="5"/>
      <c r="G22" s="5"/>
      <c r="H22" s="5"/>
      <c r="I22" s="5"/>
      <c r="J22" s="5"/>
      <c r="K22" s="5"/>
      <c r="L22" s="5" t="s">
        <v>127</v>
      </c>
      <c r="M22" s="5" t="s">
        <v>127</v>
      </c>
      <c r="N22" s="5" t="s">
        <v>127</v>
      </c>
      <c r="O22" s="5" t="s">
        <v>127</v>
      </c>
      <c r="P22" s="5" t="s">
        <v>127</v>
      </c>
      <c r="Q22" s="5" t="s">
        <v>127</v>
      </c>
    </row>
    <row r="23" spans="1:18" s="5" customFormat="1" x14ac:dyDescent="0.25">
      <c r="A23" s="5" t="str">
        <f>"PAED"&amp;TEXT(Table50[[#This Row],[Count]],"000")&amp;"."&amp;IF(Table50[[#This Row],[Category]]="Essential","E",IF(Table50[[#This Row],[Category]]="Discretionary","D","O"))</f>
        <v>PAED010.E</v>
      </c>
      <c r="B23" s="5">
        <f>MAX(Table49[Count])+ROWS(INDEX(Table50[Count],1):Table50[[#This Row],[Count]])</f>
        <v>10</v>
      </c>
      <c r="C23" s="5" t="s">
        <v>46</v>
      </c>
      <c r="D23" s="5" t="s">
        <v>1338</v>
      </c>
      <c r="E23" s="16" t="s">
        <v>13</v>
      </c>
      <c r="N23" s="5" t="s">
        <v>127</v>
      </c>
      <c r="O23" s="5" t="s">
        <v>127</v>
      </c>
      <c r="P23" s="5" t="s">
        <v>127</v>
      </c>
      <c r="Q23" s="5" t="s">
        <v>127</v>
      </c>
    </row>
    <row r="24" spans="1:18" s="5" customFormat="1" ht="30" x14ac:dyDescent="0.25">
      <c r="A24" s="5" t="str">
        <f>"PAED"&amp;TEXT(Table50[[#This Row],[Count]],"000")&amp;"."&amp;IF(Table50[[#This Row],[Category]]="Essential","E",IF(Table50[[#This Row],[Category]]="Discretionary","D","O"))</f>
        <v>PAED011.E</v>
      </c>
      <c r="B24" s="5">
        <f>MAX(Table49[Count])+ROWS(INDEX(Table50[Count],1):Table50[[#This Row],[Count]])</f>
        <v>11</v>
      </c>
      <c r="C24" s="5" t="s">
        <v>46</v>
      </c>
      <c r="D24" s="5" t="s">
        <v>1339</v>
      </c>
      <c r="E24" s="16" t="s">
        <v>13</v>
      </c>
      <c r="L24" s="5" t="s">
        <v>127</v>
      </c>
      <c r="M24" s="5" t="s">
        <v>127</v>
      </c>
      <c r="N24" s="5" t="s">
        <v>127</v>
      </c>
      <c r="O24" s="5" t="s">
        <v>127</v>
      </c>
      <c r="P24" s="5" t="s">
        <v>127</v>
      </c>
      <c r="Q24" s="5" t="s">
        <v>127</v>
      </c>
    </row>
    <row r="25" spans="1:18" s="5" customFormat="1" ht="30" x14ac:dyDescent="0.25">
      <c r="A25" s="5" t="str">
        <f>"PAED"&amp;TEXT(Table50[[#This Row],[Count]],"000")&amp;"."&amp;IF(Table50[[#This Row],[Category]]="Essential","E",IF(Table50[[#This Row],[Category]]="Discretionary","D","O"))</f>
        <v>PAED012.E</v>
      </c>
      <c r="B25" s="5">
        <f>MAX(Table49[Count])+ROWS(INDEX(Table50[Count],1):Table50[[#This Row],[Count]])</f>
        <v>12</v>
      </c>
      <c r="C25" s="5" t="s">
        <v>46</v>
      </c>
      <c r="D25" s="5" t="s">
        <v>1340</v>
      </c>
      <c r="E25" s="16" t="s">
        <v>13</v>
      </c>
      <c r="N25" s="5" t="s">
        <v>127</v>
      </c>
      <c r="O25" s="5" t="s">
        <v>127</v>
      </c>
      <c r="P25" s="5" t="s">
        <v>127</v>
      </c>
      <c r="Q25" s="5" t="s">
        <v>127</v>
      </c>
    </row>
    <row r="26" spans="1:18" s="5" customFormat="1" x14ac:dyDescent="0.25">
      <c r="A26" s="5" t="str">
        <f>"PAED"&amp;TEXT(Table50[[#This Row],[Count]],"000")&amp;"."&amp;IF(Table50[[#This Row],[Category]]="Essential","E",IF(Table50[[#This Row],[Category]]="Discretionary","D","O"))</f>
        <v>PAED013.D</v>
      </c>
      <c r="B26" s="5">
        <f>MAX(Table49[Count])+ROWS(INDEX(Table50[Count],1):Table50[[#This Row],[Count]])</f>
        <v>13</v>
      </c>
      <c r="C26" s="5" t="s">
        <v>46</v>
      </c>
      <c r="D26" s="5" t="s">
        <v>1341</v>
      </c>
      <c r="E26" s="18" t="s">
        <v>18</v>
      </c>
      <c r="N26" s="5" t="s">
        <v>127</v>
      </c>
      <c r="O26" s="5" t="s">
        <v>127</v>
      </c>
      <c r="P26" s="5" t="s">
        <v>127</v>
      </c>
      <c r="Q26" s="5" t="s">
        <v>127</v>
      </c>
    </row>
    <row r="27" spans="1:18" s="5" customFormat="1" ht="30" x14ac:dyDescent="0.25">
      <c r="A27" s="5" t="str">
        <f>"PAED"&amp;TEXT(Table50[[#This Row],[Count]],"000")&amp;"."&amp;IF(Table50[[#This Row],[Category]]="Essential","E",IF(Table50[[#This Row],[Category]]="Discretionary","D","O"))</f>
        <v>PAED014.D</v>
      </c>
      <c r="B27" s="5">
        <f>MAX(Table49[Count])+ROWS(INDEX(Table50[Count],1):Table50[[#This Row],[Count]])</f>
        <v>14</v>
      </c>
      <c r="C27" s="5" t="s">
        <v>46</v>
      </c>
      <c r="D27" s="5" t="s">
        <v>1342</v>
      </c>
      <c r="E27" s="18" t="s">
        <v>18</v>
      </c>
      <c r="L27" s="5" t="s">
        <v>127</v>
      </c>
      <c r="M27" s="5" t="s">
        <v>127</v>
      </c>
      <c r="N27" s="5" t="s">
        <v>127</v>
      </c>
      <c r="O27" s="5" t="s">
        <v>127</v>
      </c>
      <c r="P27" s="5" t="s">
        <v>127</v>
      </c>
      <c r="Q27" s="5" t="s">
        <v>127</v>
      </c>
    </row>
    <row r="28" spans="1:18" s="5" customFormat="1" x14ac:dyDescent="0.25">
      <c r="A28" s="5" t="str">
        <f>"PAED"&amp;TEXT(Table50[[#This Row],[Count]],"000")&amp;"."&amp;IF(Table50[[#This Row],[Category]]="Essential","E",IF(Table50[[#This Row],[Category]]="Discretionary","D","O"))</f>
        <v>PAED015.E</v>
      </c>
      <c r="B28" s="5">
        <f>MAX(Table49[Count])+ROWS(INDEX(Table50[Count],1):Table50[[#This Row],[Count]])</f>
        <v>15</v>
      </c>
      <c r="C28" s="5" t="s">
        <v>46</v>
      </c>
      <c r="D28" s="5" t="s">
        <v>1343</v>
      </c>
      <c r="E28" s="16" t="s">
        <v>13</v>
      </c>
      <c r="N28" s="5" t="s">
        <v>127</v>
      </c>
      <c r="O28" s="5" t="s">
        <v>127</v>
      </c>
      <c r="P28" s="5" t="s">
        <v>127</v>
      </c>
      <c r="Q28" s="5" t="s">
        <v>127</v>
      </c>
    </row>
    <row r="29" spans="1:18" x14ac:dyDescent="0.25">
      <c r="A29" s="5" t="str">
        <f>"PAED"&amp;TEXT(Table50[[#This Row],[Count]],"000")&amp;"."&amp;IF(Table50[[#This Row],[Category]]="Cat 1","1",IF(Table50[[#This Row],[Category]]="Cat 2","2",IF(Table50[[#This Row],[Category]]="Cat 3","3","O")))</f>
        <v>PAED016.O</v>
      </c>
      <c r="B29" s="5">
        <f>MAX(Table49[Count])+ROWS(INDEX(Table50[Count],1):Table50[[#This Row],[Count]])</f>
        <v>16</v>
      </c>
      <c r="C29" s="32" t="s">
        <v>46</v>
      </c>
      <c r="D29" s="32" t="s">
        <v>1344</v>
      </c>
      <c r="E29" s="55" t="s">
        <v>13</v>
      </c>
      <c r="F29" s="32"/>
      <c r="G29" s="32"/>
      <c r="H29" s="32"/>
      <c r="I29" s="32"/>
      <c r="J29" s="32"/>
      <c r="K29" s="32"/>
      <c r="L29" s="32"/>
      <c r="M29" s="32"/>
      <c r="N29" s="32" t="s">
        <v>127</v>
      </c>
      <c r="O29" s="32" t="s">
        <v>127</v>
      </c>
      <c r="P29" s="32" t="s">
        <v>127</v>
      </c>
      <c r="Q29" s="32" t="s">
        <v>127</v>
      </c>
      <c r="R29" s="32" t="s">
        <v>1345</v>
      </c>
    </row>
    <row r="30" spans="1:18" x14ac:dyDescent="0.25">
      <c r="A30" s="58" t="s">
        <v>50</v>
      </c>
      <c r="B30" s="58"/>
      <c r="C30" s="58"/>
      <c r="D30" s="58"/>
      <c r="E30" s="58"/>
      <c r="F30" s="58"/>
      <c r="G30" s="58"/>
      <c r="H30" s="58"/>
      <c r="I30" s="58"/>
      <c r="J30" s="58"/>
      <c r="K30" s="58"/>
      <c r="L30" s="58"/>
      <c r="M30" s="58"/>
      <c r="N30" s="58"/>
      <c r="O30" s="58"/>
      <c r="P30" s="58"/>
      <c r="Q30" s="58"/>
      <c r="R30" s="58"/>
    </row>
    <row r="32" spans="1:18" x14ac:dyDescent="0.25">
      <c r="A32" s="6" t="s">
        <v>120</v>
      </c>
      <c r="B32" s="6" t="s">
        <v>121</v>
      </c>
      <c r="C32" s="7" t="s">
        <v>122</v>
      </c>
      <c r="D32" s="7" t="s">
        <v>123</v>
      </c>
      <c r="E32" s="6" t="s">
        <v>8</v>
      </c>
      <c r="F32" s="6" t="s">
        <v>124</v>
      </c>
      <c r="G32" s="6" t="s">
        <v>154</v>
      </c>
      <c r="H32" s="6" t="s">
        <v>155</v>
      </c>
      <c r="I32" s="6" t="s">
        <v>156</v>
      </c>
      <c r="J32" s="6" t="s">
        <v>157</v>
      </c>
      <c r="K32" s="6" t="s">
        <v>158</v>
      </c>
      <c r="L32" s="6" t="s">
        <v>159</v>
      </c>
      <c r="M32" s="6" t="s">
        <v>160</v>
      </c>
      <c r="N32" s="6" t="s">
        <v>161</v>
      </c>
      <c r="O32" s="6" t="s">
        <v>162</v>
      </c>
      <c r="P32" s="6" t="s">
        <v>163</v>
      </c>
      <c r="Q32" s="6" t="s">
        <v>164</v>
      </c>
      <c r="R32" s="7" t="s">
        <v>125</v>
      </c>
    </row>
    <row r="33" spans="1:18" x14ac:dyDescent="0.25">
      <c r="A33" s="5" t="str">
        <f>"PAED"&amp;TEXT(Table51[[#This Row],[Count]],"000")&amp;"."&amp;IF(Table51[[#This Row],[Category]]="Essential","E",IF(Table51[[#This Row],[Category]]="Discretionary","D","O"))</f>
        <v>PAED017.E</v>
      </c>
      <c r="B33" s="5">
        <f>MAX(Table50[Count])+ROWS(INDEX(Table51[Count],1):Table51[[#This Row],[Count]])</f>
        <v>17</v>
      </c>
      <c r="C33" s="5" t="s">
        <v>50</v>
      </c>
      <c r="D33" s="5" t="s">
        <v>1346</v>
      </c>
      <c r="E33" s="5" t="s">
        <v>13</v>
      </c>
      <c r="F33" s="5"/>
      <c r="G33" s="5"/>
      <c r="H33" s="5"/>
      <c r="I33" s="5"/>
      <c r="J33" s="5"/>
      <c r="K33" s="5"/>
      <c r="L33" s="5"/>
      <c r="M33" s="5"/>
      <c r="N33" s="5" t="s">
        <v>127</v>
      </c>
      <c r="O33" s="5" t="s">
        <v>127</v>
      </c>
      <c r="P33" s="5" t="s">
        <v>127</v>
      </c>
      <c r="Q33" s="5" t="s">
        <v>127</v>
      </c>
      <c r="R33" s="5" t="s">
        <v>1347</v>
      </c>
    </row>
    <row r="35" spans="1:18" x14ac:dyDescent="0.25">
      <c r="A35" s="58" t="s">
        <v>53</v>
      </c>
      <c r="B35" s="58"/>
      <c r="C35" s="58"/>
      <c r="D35" s="58"/>
      <c r="E35" s="58"/>
      <c r="F35" s="58"/>
      <c r="G35" s="58"/>
      <c r="H35" s="58"/>
      <c r="I35" s="58"/>
      <c r="J35" s="58"/>
      <c r="K35" s="58"/>
      <c r="L35" s="58"/>
      <c r="M35" s="58"/>
      <c r="N35" s="58"/>
      <c r="O35" s="58"/>
      <c r="P35" s="58"/>
      <c r="Q35" s="58"/>
      <c r="R35" s="58"/>
    </row>
    <row r="37" spans="1:18" x14ac:dyDescent="0.25">
      <c r="A37" s="6" t="s">
        <v>120</v>
      </c>
      <c r="B37" s="6" t="s">
        <v>121</v>
      </c>
      <c r="C37" s="7" t="s">
        <v>122</v>
      </c>
      <c r="D37" s="7" t="s">
        <v>123</v>
      </c>
      <c r="E37" s="6" t="s">
        <v>8</v>
      </c>
      <c r="F37" s="6" t="s">
        <v>124</v>
      </c>
      <c r="G37" s="6" t="s">
        <v>154</v>
      </c>
      <c r="H37" s="6" t="s">
        <v>155</v>
      </c>
      <c r="I37" s="6" t="s">
        <v>156</v>
      </c>
      <c r="J37" s="6" t="s">
        <v>157</v>
      </c>
      <c r="K37" s="6" t="s">
        <v>158</v>
      </c>
      <c r="L37" s="6" t="s">
        <v>159</v>
      </c>
      <c r="M37" s="6" t="s">
        <v>160</v>
      </c>
      <c r="N37" s="6" t="s">
        <v>161</v>
      </c>
      <c r="O37" s="6" t="s">
        <v>162</v>
      </c>
      <c r="P37" s="6" t="s">
        <v>163</v>
      </c>
      <c r="Q37" s="6" t="s">
        <v>164</v>
      </c>
      <c r="R37" s="7" t="s">
        <v>125</v>
      </c>
    </row>
    <row r="38" spans="1:18" ht="45" x14ac:dyDescent="0.25">
      <c r="A38" s="2" t="str">
        <f>"PAED"&amp;TEXT(Table52[[#This Row],[Count]],"000")&amp;"."&amp;IF(Table52[[#This Row],[Category]]="Essential","E",IF(Table52[[#This Row],[Category]]="Discretionary","D","O"))</f>
        <v>PAED018.E</v>
      </c>
      <c r="B38" s="2">
        <f>MAX(Table51[Count])+ROWS(INDEX(Table52[Count],1):Table52[[#This Row],[Count]])</f>
        <v>18</v>
      </c>
      <c r="C38" s="5" t="s">
        <v>53</v>
      </c>
      <c r="D38" s="5" t="s">
        <v>1348</v>
      </c>
      <c r="E38" s="16" t="s">
        <v>13</v>
      </c>
      <c r="N38" s="2" t="s">
        <v>127</v>
      </c>
      <c r="O38" s="2" t="s">
        <v>127</v>
      </c>
      <c r="P38" s="2" t="s">
        <v>127</v>
      </c>
      <c r="Q38" s="2" t="s">
        <v>127</v>
      </c>
    </row>
    <row r="39" spans="1:18" ht="45" x14ac:dyDescent="0.25">
      <c r="A39" s="2" t="str">
        <f>"PAED"&amp;TEXT(Table52[[#This Row],[Count]],"000")&amp;"."&amp;IF(Table52[[#This Row],[Category]]="Essential","E",IF(Table52[[#This Row],[Category]]="Discretionary","D","O"))</f>
        <v>PAED019.E</v>
      </c>
      <c r="B39" s="2">
        <f>MAX(Table51[Count])+ROWS(INDEX(Table52[Count],1):Table52[[#This Row],[Count]])</f>
        <v>19</v>
      </c>
      <c r="C39" s="5" t="s">
        <v>53</v>
      </c>
      <c r="D39" s="5" t="s">
        <v>1349</v>
      </c>
      <c r="E39" s="16" t="s">
        <v>13</v>
      </c>
      <c r="N39" s="2" t="s">
        <v>127</v>
      </c>
      <c r="O39" s="2" t="s">
        <v>127</v>
      </c>
      <c r="P39" s="2" t="s">
        <v>127</v>
      </c>
      <c r="Q39" s="2" t="s">
        <v>127</v>
      </c>
    </row>
    <row r="40" spans="1:18" ht="45" x14ac:dyDescent="0.25">
      <c r="A40" s="2" t="str">
        <f>"PAED"&amp;TEXT(Table52[[#This Row],[Count]],"000")&amp;"."&amp;IF(Table52[[#This Row],[Category]]="Essential","E",IF(Table52[[#This Row],[Category]]="Discretionary","D","O"))</f>
        <v>PAED020.E</v>
      </c>
      <c r="B40" s="2">
        <f>MAX(Table51[Count])+ROWS(INDEX(Table52[Count],1):Table52[[#This Row],[Count]])</f>
        <v>20</v>
      </c>
      <c r="C40" s="5" t="s">
        <v>53</v>
      </c>
      <c r="D40" s="5" t="s">
        <v>1350</v>
      </c>
      <c r="E40" s="16" t="s">
        <v>13</v>
      </c>
      <c r="N40" s="2" t="s">
        <v>127</v>
      </c>
      <c r="O40" s="2" t="s">
        <v>127</v>
      </c>
      <c r="P40" s="2" t="s">
        <v>127</v>
      </c>
      <c r="Q40" s="2" t="s">
        <v>127</v>
      </c>
    </row>
    <row r="41" spans="1:18" ht="45" x14ac:dyDescent="0.25">
      <c r="A41" s="2" t="str">
        <f>"PAED"&amp;TEXT(Table52[[#This Row],[Count]],"000")&amp;"."&amp;IF(Table52[[#This Row],[Category]]="Essential","E",IF(Table52[[#This Row],[Category]]="Discretionary","D","O"))</f>
        <v>PAED021.E</v>
      </c>
      <c r="B41" s="2">
        <f>MAX(Table51[Count])+ROWS(INDEX(Table52[Count],1):Table52[[#This Row],[Count]])</f>
        <v>21</v>
      </c>
      <c r="C41" s="5" t="s">
        <v>53</v>
      </c>
      <c r="D41" s="5" t="s">
        <v>1351</v>
      </c>
      <c r="E41" s="16" t="s">
        <v>13</v>
      </c>
      <c r="L41" s="2" t="s">
        <v>127</v>
      </c>
      <c r="M41" s="2" t="s">
        <v>127</v>
      </c>
      <c r="N41" s="2" t="s">
        <v>127</v>
      </c>
      <c r="O41" s="2" t="s">
        <v>127</v>
      </c>
      <c r="P41" s="2" t="s">
        <v>127</v>
      </c>
      <c r="Q41" s="2" t="s">
        <v>127</v>
      </c>
    </row>
    <row r="42" spans="1:18" ht="45" x14ac:dyDescent="0.25">
      <c r="A42" s="2" t="str">
        <f>"PAED"&amp;TEXT(Table52[[#This Row],[Count]],"000")&amp;"."&amp;IF(Table52[[#This Row],[Category]]="Essential","E",IF(Table52[[#This Row],[Category]]="Discretionary","D","O"))</f>
        <v>PAED022.O</v>
      </c>
      <c r="B42" s="2">
        <f>MAX(Table51[Count])+ROWS(INDEX(Table52[Count],1):Table52[[#This Row],[Count]])</f>
        <v>22</v>
      </c>
      <c r="C42" s="5" t="s">
        <v>53</v>
      </c>
      <c r="D42" s="5" t="s">
        <v>1352</v>
      </c>
      <c r="E42" s="2" t="s">
        <v>23</v>
      </c>
      <c r="L42" s="2" t="s">
        <v>127</v>
      </c>
      <c r="M42" s="2" t="s">
        <v>127</v>
      </c>
      <c r="N42" s="2" t="s">
        <v>127</v>
      </c>
      <c r="O42" s="2" t="s">
        <v>127</v>
      </c>
      <c r="P42" s="2" t="s">
        <v>127</v>
      </c>
      <c r="Q42" s="2" t="s">
        <v>127</v>
      </c>
      <c r="R42" s="5" t="s">
        <v>1237</v>
      </c>
    </row>
    <row r="43" spans="1:18" ht="45" x14ac:dyDescent="0.25">
      <c r="A43" s="2" t="str">
        <f>"PAED"&amp;TEXT(Table52[[#This Row],[Count]],"000")&amp;"."&amp;IF(Table52[[#This Row],[Category]]="Essential","E",IF(Table52[[#This Row],[Category]]="Discretionary","D","O"))</f>
        <v>PAED023.O</v>
      </c>
      <c r="B43" s="2">
        <f>MAX(Table51[Count])+ROWS(INDEX(Table52[Count],1):Table52[[#This Row],[Count]])</f>
        <v>23</v>
      </c>
      <c r="C43" s="5" t="s">
        <v>53</v>
      </c>
      <c r="D43" s="5" t="s">
        <v>1353</v>
      </c>
      <c r="E43" s="2" t="s">
        <v>23</v>
      </c>
      <c r="L43" s="2" t="s">
        <v>127</v>
      </c>
      <c r="M43" s="2" t="s">
        <v>127</v>
      </c>
      <c r="N43" s="2" t="s">
        <v>127</v>
      </c>
      <c r="O43" s="2" t="s">
        <v>127</v>
      </c>
      <c r="P43" s="2" t="s">
        <v>127</v>
      </c>
      <c r="Q43" s="2" t="s">
        <v>127</v>
      </c>
      <c r="R43" s="5" t="s">
        <v>1237</v>
      </c>
    </row>
    <row r="44" spans="1:18" ht="45" x14ac:dyDescent="0.25">
      <c r="A44" s="2" t="str">
        <f>"PAED"&amp;TEXT(Table52[[#This Row],[Count]],"000")&amp;"."&amp;IF(Table52[[#This Row],[Category]]="Essential","E",IF(Table52[[#This Row],[Category]]="Discretionary","D","O"))</f>
        <v>PAED024.O</v>
      </c>
      <c r="B44" s="2">
        <f>MAX(Table51[Count])+ROWS(INDEX(Table52[Count],1):Table52[[#This Row],[Count]])</f>
        <v>24</v>
      </c>
      <c r="C44" s="5" t="s">
        <v>53</v>
      </c>
      <c r="D44" s="5" t="s">
        <v>1354</v>
      </c>
      <c r="E44" s="2" t="s">
        <v>23</v>
      </c>
      <c r="L44" s="2" t="s">
        <v>127</v>
      </c>
      <c r="M44" s="2" t="s">
        <v>127</v>
      </c>
      <c r="N44" s="2" t="s">
        <v>127</v>
      </c>
      <c r="O44" s="2" t="s">
        <v>127</v>
      </c>
      <c r="P44" s="2" t="s">
        <v>127</v>
      </c>
      <c r="Q44" s="2" t="s">
        <v>127</v>
      </c>
      <c r="R44" s="5" t="s">
        <v>1237</v>
      </c>
    </row>
    <row r="45" spans="1:18" ht="45" x14ac:dyDescent="0.25">
      <c r="A45" s="2" t="str">
        <f>"PAED"&amp;TEXT(Table52[[#This Row],[Count]],"000")&amp;"."&amp;IF(Table52[[#This Row],[Category]]="Essential","E",IF(Table52[[#This Row],[Category]]="Discretionary","D","O"))</f>
        <v>PAED025.E</v>
      </c>
      <c r="B45" s="2">
        <f>MAX(Table51[Count])+ROWS(INDEX(Table52[Count],1):Table52[[#This Row],[Count]])</f>
        <v>25</v>
      </c>
      <c r="C45" s="5" t="s">
        <v>53</v>
      </c>
      <c r="D45" s="5" t="s">
        <v>1355</v>
      </c>
      <c r="E45" s="2" t="s">
        <v>13</v>
      </c>
      <c r="L45" s="2" t="s">
        <v>127</v>
      </c>
      <c r="M45" s="2" t="s">
        <v>127</v>
      </c>
      <c r="N45" s="2" t="s">
        <v>127</v>
      </c>
      <c r="O45" s="2" t="s">
        <v>127</v>
      </c>
      <c r="P45" s="2" t="s">
        <v>127</v>
      </c>
      <c r="Q45" s="2" t="s">
        <v>127</v>
      </c>
    </row>
    <row r="46" spans="1:18" ht="45" x14ac:dyDescent="0.25">
      <c r="A46" s="2" t="str">
        <f>"PAED"&amp;TEXT(Table52[[#This Row],[Count]],"000")&amp;"."&amp;IF(Table52[[#This Row],[Category]]="Essential","E",IF(Table52[[#This Row],[Category]]="Discretionary","D","O"))</f>
        <v>PAED026.E</v>
      </c>
      <c r="B46" s="2">
        <f>MAX(Table51[Count])+ROWS(INDEX(Table52[Count],1):Table52[[#This Row],[Count]])</f>
        <v>26</v>
      </c>
      <c r="C46" s="5" t="s">
        <v>53</v>
      </c>
      <c r="D46" s="5" t="s">
        <v>1356</v>
      </c>
      <c r="E46" s="2" t="s">
        <v>13</v>
      </c>
      <c r="L46" s="2" t="s">
        <v>127</v>
      </c>
      <c r="M46" s="2" t="s">
        <v>127</v>
      </c>
      <c r="N46" s="2" t="s">
        <v>127</v>
      </c>
      <c r="O46" s="2" t="s">
        <v>127</v>
      </c>
      <c r="P46" s="2" t="s">
        <v>127</v>
      </c>
      <c r="Q46" s="2" t="s">
        <v>127</v>
      </c>
    </row>
    <row r="47" spans="1:18" ht="45" x14ac:dyDescent="0.25">
      <c r="A47" s="2" t="str">
        <f>"PAED"&amp;TEXT(Table52[[#This Row],[Count]],"000")&amp;"."&amp;IF(Table52[[#This Row],[Category]]="Essential","E",IF(Table52[[#This Row],[Category]]="Discretionary","D","O"))</f>
        <v>PAED027.E</v>
      </c>
      <c r="B47" s="2">
        <f>MAX(Table51[Count])+ROWS(INDEX(Table52[Count],1):Table52[[#This Row],[Count]])</f>
        <v>27</v>
      </c>
      <c r="C47" s="5" t="s">
        <v>53</v>
      </c>
      <c r="D47" s="5" t="s">
        <v>1357</v>
      </c>
      <c r="E47" s="2" t="s">
        <v>13</v>
      </c>
      <c r="L47" s="2" t="s">
        <v>127</v>
      </c>
      <c r="M47" s="2" t="s">
        <v>127</v>
      </c>
      <c r="N47" s="2" t="s">
        <v>127</v>
      </c>
      <c r="O47" s="2" t="s">
        <v>127</v>
      </c>
      <c r="P47" s="2" t="s">
        <v>127</v>
      </c>
      <c r="Q47" s="2" t="s">
        <v>127</v>
      </c>
    </row>
    <row r="48" spans="1:18" ht="45" x14ac:dyDescent="0.25">
      <c r="A48" s="2" t="str">
        <f>"PAED"&amp;TEXT(Table52[[#This Row],[Count]],"000")&amp;"."&amp;IF(Table52[[#This Row],[Category]]="Essential","E",IF(Table52[[#This Row],[Category]]="Discretionary","D","O"))</f>
        <v>PAED028.E</v>
      </c>
      <c r="B48" s="2">
        <f>MAX(Table51[Count])+ROWS(INDEX(Table52[Count],1):Table52[[#This Row],[Count]])</f>
        <v>28</v>
      </c>
      <c r="C48" s="5" t="s">
        <v>53</v>
      </c>
      <c r="D48" s="5" t="s">
        <v>1358</v>
      </c>
      <c r="E48" s="2" t="s">
        <v>13</v>
      </c>
      <c r="L48" s="2" t="s">
        <v>127</v>
      </c>
      <c r="M48" s="2" t="s">
        <v>127</v>
      </c>
      <c r="N48" s="2" t="s">
        <v>127</v>
      </c>
      <c r="O48" s="2" t="s">
        <v>127</v>
      </c>
      <c r="P48" s="2" t="s">
        <v>127</v>
      </c>
      <c r="Q48" s="2" t="s">
        <v>127</v>
      </c>
    </row>
    <row r="49" spans="1:18" ht="45" x14ac:dyDescent="0.25">
      <c r="A49" s="2" t="str">
        <f>"PAED"&amp;TEXT(Table52[[#This Row],[Count]],"000")&amp;"."&amp;IF(Table52[[#This Row],[Category]]="Essential","E",IF(Table52[[#This Row],[Category]]="Discretionary","D","O"))</f>
        <v>PAED029.D</v>
      </c>
      <c r="B49" s="2">
        <f>MAX(Table51[Count])+ROWS(INDEX(Table52[Count],1):Table52[[#This Row],[Count]])</f>
        <v>29</v>
      </c>
      <c r="C49" s="5" t="s">
        <v>53</v>
      </c>
      <c r="D49" s="5" t="s">
        <v>1359</v>
      </c>
      <c r="E49" s="2" t="s">
        <v>18</v>
      </c>
      <c r="L49" s="2" t="s">
        <v>127</v>
      </c>
      <c r="M49" s="2" t="s">
        <v>127</v>
      </c>
      <c r="N49" s="2" t="s">
        <v>127</v>
      </c>
      <c r="O49" s="2" t="s">
        <v>127</v>
      </c>
      <c r="P49" s="2" t="s">
        <v>127</v>
      </c>
      <c r="Q49" s="2" t="s">
        <v>127</v>
      </c>
    </row>
    <row r="50" spans="1:18" ht="45" x14ac:dyDescent="0.25">
      <c r="A50" s="2" t="str">
        <f>"PAED"&amp;TEXT(Table52[[#This Row],[Count]],"000")&amp;"."&amp;IF(Table52[[#This Row],[Category]]="Essential","E",IF(Table52[[#This Row],[Category]]="Discretionary","D","O"))</f>
        <v>PAED030.E</v>
      </c>
      <c r="B50" s="2">
        <f>MAX(Table51[Count])+ROWS(INDEX(Table52[Count],1):Table52[[#This Row],[Count]])</f>
        <v>30</v>
      </c>
      <c r="C50" s="5" t="s">
        <v>53</v>
      </c>
      <c r="D50" s="5" t="s">
        <v>1360</v>
      </c>
      <c r="E50" s="2" t="s">
        <v>13</v>
      </c>
      <c r="L50" s="2" t="s">
        <v>127</v>
      </c>
      <c r="M50" s="2" t="s">
        <v>127</v>
      </c>
      <c r="N50" s="2" t="s">
        <v>127</v>
      </c>
      <c r="O50" s="2" t="s">
        <v>127</v>
      </c>
      <c r="P50" s="2" t="s">
        <v>127</v>
      </c>
      <c r="Q50" s="2" t="s">
        <v>127</v>
      </c>
    </row>
    <row r="52" spans="1:18" x14ac:dyDescent="0.25">
      <c r="A52" s="58" t="s">
        <v>58</v>
      </c>
      <c r="B52" s="58"/>
      <c r="C52" s="58"/>
      <c r="D52" s="58"/>
      <c r="E52" s="58"/>
      <c r="F52" s="58"/>
      <c r="G52" s="58"/>
      <c r="H52" s="58"/>
      <c r="I52" s="58"/>
      <c r="J52" s="58"/>
      <c r="K52" s="58"/>
      <c r="L52" s="58"/>
      <c r="M52" s="58"/>
      <c r="N52" s="58"/>
      <c r="O52" s="58"/>
      <c r="P52" s="58"/>
      <c r="Q52" s="58"/>
      <c r="R52" s="58"/>
    </row>
    <row r="54" spans="1:18" x14ac:dyDescent="0.25">
      <c r="A54" s="6" t="s">
        <v>120</v>
      </c>
      <c r="B54" s="6" t="s">
        <v>121</v>
      </c>
      <c r="C54" s="7" t="s">
        <v>122</v>
      </c>
      <c r="D54" s="7" t="s">
        <v>123</v>
      </c>
      <c r="E54" s="6" t="s">
        <v>8</v>
      </c>
      <c r="F54" s="6" t="s">
        <v>124</v>
      </c>
      <c r="G54" s="6" t="s">
        <v>154</v>
      </c>
      <c r="H54" s="6" t="s">
        <v>155</v>
      </c>
      <c r="I54" s="6" t="s">
        <v>156</v>
      </c>
      <c r="J54" s="6" t="s">
        <v>157</v>
      </c>
      <c r="K54" s="6" t="s">
        <v>158</v>
      </c>
      <c r="L54" s="6" t="s">
        <v>159</v>
      </c>
      <c r="M54" s="6" t="s">
        <v>160</v>
      </c>
      <c r="N54" s="6" t="s">
        <v>161</v>
      </c>
      <c r="O54" s="6" t="s">
        <v>162</v>
      </c>
      <c r="P54" s="6" t="s">
        <v>163</v>
      </c>
      <c r="Q54" s="7" t="s">
        <v>164</v>
      </c>
      <c r="R54" s="7" t="s">
        <v>125</v>
      </c>
    </row>
    <row r="55" spans="1:18" x14ac:dyDescent="0.25">
      <c r="A55" s="2" t="str">
        <f>"PAED"&amp;TEXT(Table53[[#This Row],[Count]],"000")&amp;"."&amp;IF(Table53[[#This Row],[Category]]="Essential","E",IF(Table53[[#This Row],[Category]]="Discretionary","D","O"))</f>
        <v>PAED031.E</v>
      </c>
      <c r="B55" s="2">
        <f>MAX(Table52[Count])+ROWS(INDEX(Table53[Count],1):Table53[[#This Row],[Count]])</f>
        <v>31</v>
      </c>
      <c r="C55" s="5" t="s">
        <v>58</v>
      </c>
      <c r="D55" s="5" t="s">
        <v>1034</v>
      </c>
      <c r="E55" s="2" t="s">
        <v>13</v>
      </c>
      <c r="L55" s="2" t="s">
        <v>127</v>
      </c>
      <c r="M55" s="2" t="s">
        <v>127</v>
      </c>
      <c r="N55" s="2" t="s">
        <v>127</v>
      </c>
      <c r="O55" s="2" t="s">
        <v>127</v>
      </c>
      <c r="P55" s="2" t="s">
        <v>127</v>
      </c>
      <c r="Q55" s="5" t="s">
        <v>127</v>
      </c>
      <c r="R55" s="5" t="s">
        <v>1361</v>
      </c>
    </row>
    <row r="56" spans="1:18" x14ac:dyDescent="0.25">
      <c r="A56" s="2" t="str">
        <f>"PAED"&amp;TEXT(Table53[[#This Row],[Count]],"000")&amp;"."&amp;IF(Table53[[#This Row],[Category]]="Essential","E",IF(Table53[[#This Row],[Category]]="Discretionary","D","O"))</f>
        <v>PAED032.E</v>
      </c>
      <c r="B56" s="2">
        <f>MAX(Table52[Count])+ROWS(INDEX(Table53[Count],1):Table53[[#This Row],[Count]])</f>
        <v>32</v>
      </c>
      <c r="C56" s="5" t="s">
        <v>58</v>
      </c>
      <c r="D56" s="5" t="s">
        <v>1035</v>
      </c>
      <c r="E56" s="2" t="s">
        <v>13</v>
      </c>
      <c r="L56" s="2" t="s">
        <v>127</v>
      </c>
      <c r="M56" s="2" t="s">
        <v>127</v>
      </c>
      <c r="N56" s="2" t="s">
        <v>127</v>
      </c>
      <c r="O56" s="2" t="s">
        <v>127</v>
      </c>
      <c r="P56" s="2" t="s">
        <v>127</v>
      </c>
      <c r="Q56" s="5" t="s">
        <v>127</v>
      </c>
      <c r="R56" s="5" t="s">
        <v>1361</v>
      </c>
    </row>
    <row r="57" spans="1:18" ht="30" x14ac:dyDescent="0.25">
      <c r="A57" s="2" t="str">
        <f>"PAED"&amp;TEXT(Table53[[#This Row],[Count]],"000")&amp;"."&amp;IF(Table53[[#This Row],[Category]]="Essential","E",IF(Table53[[#This Row],[Category]]="Discretionary","D","O"))</f>
        <v>PAED033.E</v>
      </c>
      <c r="B57" s="2">
        <f>MAX(Table52[Count])+ROWS(INDEX(Table53[Count],1):Table53[[#This Row],[Count]])</f>
        <v>33</v>
      </c>
      <c r="C57" s="5" t="s">
        <v>1362</v>
      </c>
      <c r="D57" s="5" t="s">
        <v>1363</v>
      </c>
      <c r="E57" s="2" t="s">
        <v>13</v>
      </c>
      <c r="F57" s="2" t="s">
        <v>127</v>
      </c>
      <c r="R57" s="5" t="s">
        <v>1361</v>
      </c>
    </row>
    <row r="59" spans="1:18" x14ac:dyDescent="0.25">
      <c r="A59" s="58" t="s">
        <v>61</v>
      </c>
      <c r="B59" s="58"/>
      <c r="C59" s="58"/>
      <c r="D59" s="58"/>
      <c r="E59" s="58"/>
      <c r="F59" s="58"/>
      <c r="G59" s="58"/>
      <c r="H59" s="58"/>
      <c r="I59" s="58"/>
      <c r="J59" s="58"/>
      <c r="K59" s="58"/>
      <c r="L59" s="58"/>
      <c r="M59" s="58"/>
      <c r="N59" s="58"/>
      <c r="O59" s="58"/>
      <c r="P59" s="58"/>
      <c r="Q59" s="58"/>
      <c r="R59" s="58"/>
    </row>
    <row r="61" spans="1:18" x14ac:dyDescent="0.25">
      <c r="A61" s="6" t="s">
        <v>120</v>
      </c>
      <c r="B61" s="6" t="s">
        <v>121</v>
      </c>
      <c r="C61" s="7" t="s">
        <v>122</v>
      </c>
      <c r="D61" s="7" t="s">
        <v>123</v>
      </c>
      <c r="E61" s="6" t="s">
        <v>8</v>
      </c>
      <c r="F61" s="6" t="s">
        <v>124</v>
      </c>
      <c r="G61" s="6" t="s">
        <v>154</v>
      </c>
      <c r="H61" s="6" t="s">
        <v>155</v>
      </c>
      <c r="I61" s="6" t="s">
        <v>156</v>
      </c>
      <c r="J61" s="6" t="s">
        <v>157</v>
      </c>
      <c r="K61" s="6" t="s">
        <v>158</v>
      </c>
      <c r="L61" s="6" t="s">
        <v>159</v>
      </c>
      <c r="M61" s="6" t="s">
        <v>160</v>
      </c>
      <c r="N61" s="6" t="s">
        <v>161</v>
      </c>
      <c r="O61" s="6" t="s">
        <v>162</v>
      </c>
      <c r="P61" s="6" t="s">
        <v>163</v>
      </c>
      <c r="Q61" s="7" t="s">
        <v>164</v>
      </c>
      <c r="R61" s="7" t="s">
        <v>125</v>
      </c>
    </row>
    <row r="62" spans="1:18" ht="45" x14ac:dyDescent="0.25">
      <c r="A62" s="2" t="str">
        <f>"PAED"&amp;TEXT(Table54[[#This Row],[Count]],"000")&amp;"."&amp;IF(Table54[[#This Row],[Category]]="Essential","E",IF(Table54[[#This Row],[Category]]="Discretionary","D","O"))</f>
        <v>PAED034.E</v>
      </c>
      <c r="B62" s="2">
        <f>MAX(Table53[Count])+ROWS(INDEX(Table54[Count],1):Table54[[#This Row],[Count]])</f>
        <v>34</v>
      </c>
      <c r="C62" s="5" t="s">
        <v>61</v>
      </c>
      <c r="D62" s="5" t="s">
        <v>1364</v>
      </c>
      <c r="E62" s="2" t="s">
        <v>13</v>
      </c>
      <c r="N62" s="2" t="s">
        <v>127</v>
      </c>
      <c r="O62" s="2" t="s">
        <v>127</v>
      </c>
      <c r="P62" s="2" t="s">
        <v>127</v>
      </c>
      <c r="Q62" s="5" t="s">
        <v>127</v>
      </c>
    </row>
    <row r="63" spans="1:18" ht="45" x14ac:dyDescent="0.25">
      <c r="A63" s="2" t="str">
        <f>"PAED"&amp;TEXT(Table54[[#This Row],[Count]],"000")&amp;"."&amp;IF(Table54[[#This Row],[Category]]="Essential","E",IF(Table54[[#This Row],[Category]]="Discretionary","D","O"))</f>
        <v>PAED035.E</v>
      </c>
      <c r="B63" s="2">
        <f>MAX(Table53[Count])+ROWS(INDEX(Table54[Count],1):Table54[[#This Row],[Count]])</f>
        <v>35</v>
      </c>
      <c r="C63" s="5" t="s">
        <v>61</v>
      </c>
      <c r="D63" s="5" t="s">
        <v>1365</v>
      </c>
      <c r="E63" s="2" t="s">
        <v>13</v>
      </c>
      <c r="N63" s="2" t="s">
        <v>127</v>
      </c>
      <c r="O63" s="2" t="s">
        <v>127</v>
      </c>
      <c r="P63" s="2" t="s">
        <v>127</v>
      </c>
      <c r="Q63" s="5" t="s">
        <v>127</v>
      </c>
    </row>
    <row r="64" spans="1:18" ht="45" x14ac:dyDescent="0.25">
      <c r="A64" s="2" t="str">
        <f>"PAED"&amp;TEXT(Table54[[#This Row],[Count]],"000")&amp;"."&amp;IF(Table54[[#This Row],[Category]]="Essential","E",IF(Table54[[#This Row],[Category]]="Discretionary","D","O"))</f>
        <v>PAED036.O</v>
      </c>
      <c r="B64" s="2">
        <f>MAX(Table53[Count])+ROWS(INDEX(Table54[Count],1):Table54[[#This Row],[Count]])</f>
        <v>36</v>
      </c>
      <c r="C64" s="5" t="s">
        <v>61</v>
      </c>
      <c r="D64" s="5" t="s">
        <v>1366</v>
      </c>
      <c r="E64" s="2" t="s">
        <v>23</v>
      </c>
      <c r="N64" s="2" t="s">
        <v>127</v>
      </c>
      <c r="O64" s="2" t="s">
        <v>127</v>
      </c>
      <c r="P64" s="2" t="s">
        <v>127</v>
      </c>
      <c r="Q64" s="5" t="s">
        <v>127</v>
      </c>
      <c r="R64" s="5" t="s">
        <v>1237</v>
      </c>
    </row>
    <row r="65" spans="1:18" ht="45" x14ac:dyDescent="0.25">
      <c r="A65" s="2" t="str">
        <f>"PAED"&amp;TEXT(Table54[[#This Row],[Count]],"000")&amp;"."&amp;IF(Table54[[#This Row],[Category]]="Essential","E",IF(Table54[[#This Row],[Category]]="Discretionary","D","O"))</f>
        <v>PAED037.E</v>
      </c>
      <c r="B65" s="2">
        <f>MAX(Table53[Count])+ROWS(INDEX(Table54[Count],1):Table54[[#This Row],[Count]])</f>
        <v>37</v>
      </c>
      <c r="C65" s="5" t="s">
        <v>61</v>
      </c>
      <c r="D65" s="5" t="s">
        <v>1367</v>
      </c>
      <c r="E65" s="2" t="s">
        <v>13</v>
      </c>
      <c r="N65" s="2" t="s">
        <v>127</v>
      </c>
      <c r="O65" s="2" t="s">
        <v>127</v>
      </c>
      <c r="P65" s="2" t="s">
        <v>127</v>
      </c>
      <c r="Q65" s="5" t="s">
        <v>127</v>
      </c>
    </row>
    <row r="66" spans="1:18" ht="45" x14ac:dyDescent="0.25">
      <c r="A66" s="2" t="str">
        <f>"PAED"&amp;TEXT(Table54[[#This Row],[Count]],"000")&amp;"."&amp;IF(Table54[[#This Row],[Category]]="Essential","E",IF(Table54[[#This Row],[Category]]="Discretionary","D","O"))</f>
        <v>PAED038.E</v>
      </c>
      <c r="B66" s="2">
        <f>MAX(Table53[Count])+ROWS(INDEX(Table54[Count],1):Table54[[#This Row],[Count]])</f>
        <v>38</v>
      </c>
      <c r="C66" s="5" t="s">
        <v>61</v>
      </c>
      <c r="D66" s="5" t="s">
        <v>1368</v>
      </c>
      <c r="E66" s="2" t="s">
        <v>13</v>
      </c>
      <c r="N66" s="2" t="s">
        <v>127</v>
      </c>
      <c r="O66" s="2" t="s">
        <v>127</v>
      </c>
      <c r="P66" s="2" t="s">
        <v>127</v>
      </c>
      <c r="Q66" s="5" t="s">
        <v>127</v>
      </c>
    </row>
    <row r="67" spans="1:18" ht="45" x14ac:dyDescent="0.25">
      <c r="A67" s="2" t="str">
        <f>"PAED"&amp;TEXT(Table54[[#This Row],[Count]],"000")&amp;"."&amp;IF(Table54[[#This Row],[Category]]="Essential","E",IF(Table54[[#This Row],[Category]]="Discretionary","D","O"))</f>
        <v>PAED039.E</v>
      </c>
      <c r="B67" s="2">
        <f>MAX(Table53[Count])+ROWS(INDEX(Table54[Count],1):Table54[[#This Row],[Count]])</f>
        <v>39</v>
      </c>
      <c r="C67" s="5" t="s">
        <v>61</v>
      </c>
      <c r="D67" s="5" t="s">
        <v>1369</v>
      </c>
      <c r="E67" s="2" t="s">
        <v>13</v>
      </c>
      <c r="N67" s="2" t="s">
        <v>127</v>
      </c>
      <c r="O67" s="2" t="s">
        <v>127</v>
      </c>
      <c r="P67" s="2" t="s">
        <v>127</v>
      </c>
      <c r="Q67" s="5" t="s">
        <v>127</v>
      </c>
    </row>
    <row r="68" spans="1:18" ht="45" x14ac:dyDescent="0.25">
      <c r="A68" s="2" t="str">
        <f>"PAED"&amp;TEXT(Table54[[#This Row],[Count]],"000")&amp;"."&amp;IF(Table54[[#This Row],[Category]]="Essential","E",IF(Table54[[#This Row],[Category]]="Discretionary","D","O"))</f>
        <v>PAED040.E</v>
      </c>
      <c r="B68" s="2">
        <f>MAX(Table53[Count])+ROWS(INDEX(Table54[Count],1):Table54[[#This Row],[Count]])</f>
        <v>40</v>
      </c>
      <c r="C68" s="5" t="s">
        <v>61</v>
      </c>
      <c r="D68" s="5" t="s">
        <v>1370</v>
      </c>
      <c r="E68" s="2" t="s">
        <v>13</v>
      </c>
      <c r="N68" s="2" t="s">
        <v>127</v>
      </c>
      <c r="O68" s="2" t="s">
        <v>127</v>
      </c>
      <c r="P68" s="2" t="s">
        <v>127</v>
      </c>
      <c r="Q68" s="5" t="s">
        <v>127</v>
      </c>
    </row>
    <row r="70" spans="1:18" x14ac:dyDescent="0.25">
      <c r="A70" s="58" t="s">
        <v>64</v>
      </c>
      <c r="B70" s="58"/>
      <c r="C70" s="58"/>
      <c r="D70" s="58"/>
      <c r="E70" s="58"/>
      <c r="F70" s="58"/>
      <c r="G70" s="58"/>
      <c r="H70" s="58"/>
      <c r="I70" s="58"/>
      <c r="J70" s="58"/>
      <c r="K70" s="58"/>
      <c r="L70" s="58"/>
      <c r="M70" s="58"/>
      <c r="N70" s="58"/>
      <c r="O70" s="58"/>
      <c r="P70" s="58"/>
      <c r="Q70" s="58"/>
      <c r="R70" s="58"/>
    </row>
    <row r="72" spans="1:18" x14ac:dyDescent="0.25">
      <c r="A72" s="6" t="s">
        <v>120</v>
      </c>
      <c r="B72" s="6" t="s">
        <v>121</v>
      </c>
      <c r="C72" s="7" t="s">
        <v>122</v>
      </c>
      <c r="D72" s="7" t="s">
        <v>123</v>
      </c>
      <c r="E72" s="6" t="s">
        <v>8</v>
      </c>
      <c r="F72" s="6" t="s">
        <v>124</v>
      </c>
      <c r="G72" s="6" t="s">
        <v>154</v>
      </c>
      <c r="H72" s="6" t="s">
        <v>155</v>
      </c>
      <c r="I72" s="6" t="s">
        <v>156</v>
      </c>
      <c r="J72" s="6" t="s">
        <v>157</v>
      </c>
      <c r="K72" s="6" t="s">
        <v>158</v>
      </c>
      <c r="L72" s="6" t="s">
        <v>159</v>
      </c>
      <c r="M72" s="6" t="s">
        <v>160</v>
      </c>
      <c r="N72" s="6" t="s">
        <v>161</v>
      </c>
      <c r="O72" s="6" t="s">
        <v>162</v>
      </c>
      <c r="P72" s="6" t="s">
        <v>163</v>
      </c>
      <c r="Q72" s="7" t="s">
        <v>164</v>
      </c>
      <c r="R72" s="7" t="s">
        <v>125</v>
      </c>
    </row>
    <row r="73" spans="1:18" ht="30" x14ac:dyDescent="0.25">
      <c r="A73" s="2" t="str">
        <f>"PAED"&amp;TEXT(Table55[[#This Row],[Count]],"000")&amp;"."&amp;IF(Table55[[#This Row],[Category]]="Essential","E",IF(Table55[[#This Row],[Category]]="Discretionary","D","O"))</f>
        <v>PAED041.E</v>
      </c>
      <c r="B73" s="2">
        <f>MAX(Table54[Count])+ROWS(INDEX(Table55[Count],1):Table55[[#This Row],[Count]])</f>
        <v>41</v>
      </c>
      <c r="C73" s="5" t="s">
        <v>64</v>
      </c>
      <c r="D73" s="5" t="s">
        <v>1371</v>
      </c>
      <c r="E73" s="2" t="s">
        <v>13</v>
      </c>
      <c r="N73" s="2" t="s">
        <v>127</v>
      </c>
      <c r="O73" s="2" t="s">
        <v>127</v>
      </c>
      <c r="P73" s="2" t="s">
        <v>127</v>
      </c>
      <c r="Q73" s="5" t="s">
        <v>127</v>
      </c>
      <c r="R73" s="5" t="s">
        <v>1372</v>
      </c>
    </row>
    <row r="74" spans="1:18" ht="45" x14ac:dyDescent="0.25">
      <c r="A74" s="2" t="str">
        <f>"PAED"&amp;TEXT(Table55[[#This Row],[Count]],"000")&amp;"."&amp;IF(Table55[[#This Row],[Category]]="Essential","E",IF(Table55[[#This Row],[Category]]="Discretionary","D","O"))</f>
        <v>PAED042.E</v>
      </c>
      <c r="B74" s="2">
        <f>MAX(Table54[Count])+ROWS(INDEX(Table55[Count],1):Table55[[#This Row],[Count]])</f>
        <v>42</v>
      </c>
      <c r="C74" s="5" t="s">
        <v>64</v>
      </c>
      <c r="D74" s="5" t="s">
        <v>1373</v>
      </c>
      <c r="E74" s="2" t="s">
        <v>13</v>
      </c>
      <c r="N74" s="2" t="s">
        <v>127</v>
      </c>
      <c r="O74" s="2" t="s">
        <v>127</v>
      </c>
      <c r="P74" s="2" t="s">
        <v>127</v>
      </c>
      <c r="Q74" s="5" t="s">
        <v>127</v>
      </c>
      <c r="R74" s="5" t="s">
        <v>1372</v>
      </c>
    </row>
    <row r="75" spans="1:18" ht="30" x14ac:dyDescent="0.25">
      <c r="A75" s="2" t="str">
        <f>"PAED"&amp;TEXT(Table55[[#This Row],[Count]],"000")&amp;"."&amp;IF(Table55[[#This Row],[Category]]="Essential","E",IF(Table55[[#This Row],[Category]]="Discretionary","D","O"))</f>
        <v>PAED043.O</v>
      </c>
      <c r="B75" s="2">
        <f>MAX(Table54[Count])+ROWS(INDEX(Table55[Count],1):Table55[[#This Row],[Count]])</f>
        <v>43</v>
      </c>
      <c r="C75" s="5" t="s">
        <v>64</v>
      </c>
      <c r="D75" s="5" t="s">
        <v>1374</v>
      </c>
      <c r="E75" s="2" t="s">
        <v>23</v>
      </c>
      <c r="N75" s="2" t="s">
        <v>127</v>
      </c>
      <c r="O75" s="2" t="s">
        <v>127</v>
      </c>
      <c r="P75" s="2" t="s">
        <v>127</v>
      </c>
      <c r="Q75" s="5" t="s">
        <v>127</v>
      </c>
      <c r="R75" s="5" t="s">
        <v>1375</v>
      </c>
    </row>
    <row r="76" spans="1:18" ht="30" x14ac:dyDescent="0.25">
      <c r="A76" s="2" t="str">
        <f>"PAED"&amp;TEXT(Table55[[#This Row],[Count]],"000")&amp;"."&amp;IF(Table55[[#This Row],[Category]]="Essential","E",IF(Table55[[#This Row],[Category]]="Discretionary","D","O"))</f>
        <v>PAED044.E</v>
      </c>
      <c r="B76" s="2">
        <f>MAX(Table54[Count])+ROWS(INDEX(Table55[Count],1):Table55[[#This Row],[Count]])</f>
        <v>44</v>
      </c>
      <c r="C76" s="5" t="s">
        <v>64</v>
      </c>
      <c r="D76" s="5" t="s">
        <v>1376</v>
      </c>
      <c r="E76" s="16" t="s">
        <v>13</v>
      </c>
      <c r="F76" s="2" t="s">
        <v>127</v>
      </c>
      <c r="Q76" s="2"/>
    </row>
    <row r="78" spans="1:18" x14ac:dyDescent="0.25">
      <c r="A78" s="58" t="s">
        <v>66</v>
      </c>
      <c r="B78" s="58"/>
      <c r="C78" s="58"/>
      <c r="D78" s="58"/>
      <c r="E78" s="58"/>
      <c r="F78" s="58"/>
      <c r="G78" s="58"/>
      <c r="H78" s="58"/>
      <c r="I78" s="58"/>
      <c r="J78" s="58"/>
      <c r="K78" s="58"/>
      <c r="L78" s="58"/>
      <c r="M78" s="58"/>
      <c r="N78" s="58"/>
      <c r="O78" s="58"/>
      <c r="P78" s="58"/>
      <c r="Q78" s="58"/>
      <c r="R78" s="58"/>
    </row>
    <row r="80" spans="1:18" x14ac:dyDescent="0.25">
      <c r="A80" s="6" t="s">
        <v>120</v>
      </c>
      <c r="B80" s="6" t="s">
        <v>121</v>
      </c>
      <c r="C80" s="7" t="s">
        <v>122</v>
      </c>
      <c r="D80" s="7" t="s">
        <v>123</v>
      </c>
      <c r="E80" s="6" t="s">
        <v>8</v>
      </c>
      <c r="F80" s="6" t="s">
        <v>124</v>
      </c>
      <c r="G80" s="6" t="s">
        <v>154</v>
      </c>
      <c r="H80" s="6" t="s">
        <v>155</v>
      </c>
      <c r="I80" s="6" t="s">
        <v>156</v>
      </c>
      <c r="J80" s="6" t="s">
        <v>157</v>
      </c>
      <c r="K80" s="6" t="s">
        <v>158</v>
      </c>
      <c r="L80" s="6" t="s">
        <v>159</v>
      </c>
      <c r="M80" s="6" t="s">
        <v>160</v>
      </c>
      <c r="N80" s="6" t="s">
        <v>161</v>
      </c>
      <c r="O80" s="6" t="s">
        <v>162</v>
      </c>
      <c r="P80" s="6" t="s">
        <v>163</v>
      </c>
      <c r="Q80" s="7" t="s">
        <v>164</v>
      </c>
      <c r="R80" s="7" t="s">
        <v>125</v>
      </c>
    </row>
    <row r="81" spans="1:18" ht="30" x14ac:dyDescent="0.25">
      <c r="A81" s="2" t="str">
        <f>"PAED"&amp;TEXT(Table56[[#This Row],[Count]],"000")&amp;"."&amp;IF(Table56[[#This Row],[Category]]="Essential","E",IF(Table56[[#This Row],[Category]]="Discretionary","D","O"))</f>
        <v>PAED045.E</v>
      </c>
      <c r="B81" s="2">
        <f>MAX(Table55[Count])+ROWS(INDEX(Table56[Count],1):Table56[[#This Row],[Count]])</f>
        <v>45</v>
      </c>
      <c r="C81" s="5" t="s">
        <v>66</v>
      </c>
      <c r="D81" s="5" t="s">
        <v>1377</v>
      </c>
      <c r="E81" s="2" t="s">
        <v>13</v>
      </c>
      <c r="N81" s="2" t="s">
        <v>127</v>
      </c>
      <c r="O81" s="2" t="s">
        <v>127</v>
      </c>
      <c r="P81" s="2" t="s">
        <v>127</v>
      </c>
      <c r="Q81" s="5" t="s">
        <v>127</v>
      </c>
    </row>
    <row r="82" spans="1:18" ht="30" x14ac:dyDescent="0.25">
      <c r="A82" s="2" t="str">
        <f>"PAED"&amp;TEXT(Table56[[#This Row],[Count]],"000")&amp;"."&amp;IF(Table56[[#This Row],[Category]]="Essential","E",IF(Table56[[#This Row],[Category]]="Discretionary","D","O"))</f>
        <v>PAED046.E</v>
      </c>
      <c r="B82" s="2">
        <f>MAX(Table55[Count])+ROWS(INDEX(Table56[Count],1):Table56[[#This Row],[Count]])</f>
        <v>46</v>
      </c>
      <c r="C82" s="5" t="s">
        <v>66</v>
      </c>
      <c r="D82" s="5" t="s">
        <v>288</v>
      </c>
      <c r="E82" s="2" t="s">
        <v>13</v>
      </c>
      <c r="P82" s="5" t="s">
        <v>127</v>
      </c>
      <c r="Q82" s="5" t="s">
        <v>127</v>
      </c>
    </row>
    <row r="83" spans="1:18" ht="30" x14ac:dyDescent="0.25">
      <c r="A83" s="2" t="str">
        <f>"PAED"&amp;TEXT(Table56[[#This Row],[Count]],"000")&amp;"."&amp;IF(Table56[[#This Row],[Category]]="Essential","E",IF(Table56[[#This Row],[Category]]="Discretionary","D","O"))</f>
        <v>PAED047.D</v>
      </c>
      <c r="B83" s="2">
        <f>MAX(Table55[Count])+ROWS(INDEX(Table56[Count],1):Table56[[#This Row],[Count]])</f>
        <v>47</v>
      </c>
      <c r="C83" s="5" t="s">
        <v>66</v>
      </c>
      <c r="D83" s="5" t="s">
        <v>1378</v>
      </c>
      <c r="E83" s="2" t="s">
        <v>18</v>
      </c>
      <c r="N83" s="2" t="s">
        <v>127</v>
      </c>
      <c r="O83" s="2" t="s">
        <v>127</v>
      </c>
      <c r="P83" s="2" t="s">
        <v>127</v>
      </c>
      <c r="Q83" s="5" t="s">
        <v>127</v>
      </c>
    </row>
    <row r="84" spans="1:18" ht="30" x14ac:dyDescent="0.25">
      <c r="A84" s="2" t="str">
        <f>"PAED"&amp;TEXT(Table56[[#This Row],[Count]],"000")&amp;"."&amp;IF(Table56[[#This Row],[Category]]="Essential","E",IF(Table56[[#This Row],[Category]]="Discretionary","D","O"))</f>
        <v>PAED048.D</v>
      </c>
      <c r="B84" s="2">
        <f>MAX(Table55[Count])+ROWS(INDEX(Table56[Count],1):Table56[[#This Row],[Count]])</f>
        <v>48</v>
      </c>
      <c r="C84" s="5" t="s">
        <v>66</v>
      </c>
      <c r="D84" s="5" t="s">
        <v>1379</v>
      </c>
      <c r="E84" s="2" t="s">
        <v>18</v>
      </c>
      <c r="N84" s="2" t="s">
        <v>127</v>
      </c>
      <c r="O84" s="2" t="s">
        <v>127</v>
      </c>
      <c r="P84" s="2" t="s">
        <v>127</v>
      </c>
      <c r="Q84" s="5" t="s">
        <v>127</v>
      </c>
    </row>
    <row r="85" spans="1:18" ht="30" x14ac:dyDescent="0.25">
      <c r="A85" s="2" t="str">
        <f>"PAED"&amp;TEXT(Table56[[#This Row],[Count]],"000")&amp;"."&amp;IF(Table56[[#This Row],[Category]]="Essential","E",IF(Table56[[#This Row],[Category]]="Discretionary","D","O"))</f>
        <v>PAED049.E</v>
      </c>
      <c r="B85" s="2">
        <f>MAX(Table55[Count])+ROWS(INDEX(Table56[Count],1):Table56[[#This Row],[Count]])</f>
        <v>49</v>
      </c>
      <c r="C85" s="5" t="s">
        <v>66</v>
      </c>
      <c r="D85" s="5" t="s">
        <v>400</v>
      </c>
      <c r="E85" s="2" t="s">
        <v>13</v>
      </c>
      <c r="H85" s="2" t="s">
        <v>1380</v>
      </c>
      <c r="N85" s="2" t="s">
        <v>127</v>
      </c>
      <c r="O85" s="2" t="s">
        <v>127</v>
      </c>
      <c r="P85" s="2" t="s">
        <v>127</v>
      </c>
      <c r="Q85" s="5" t="s">
        <v>127</v>
      </c>
      <c r="R85" s="5" t="s">
        <v>1381</v>
      </c>
    </row>
    <row r="86" spans="1:18" ht="30" x14ac:dyDescent="0.25">
      <c r="A86" s="2" t="str">
        <f>"PAED"&amp;TEXT(Table56[[#This Row],[Count]],"000")&amp;"."&amp;IF(Table56[[#This Row],[Category]]="Essential","E",IF(Table56[[#This Row],[Category]]="Discretionary","D","O"))</f>
        <v>PAED050.D</v>
      </c>
      <c r="B86" s="2">
        <f>MAX(Table55[Count])+ROWS(INDEX(Table56[Count],1):Table56[[#This Row],[Count]])</f>
        <v>50</v>
      </c>
      <c r="C86" s="5" t="s">
        <v>66</v>
      </c>
      <c r="D86" s="5" t="s">
        <v>1382</v>
      </c>
      <c r="E86" s="2" t="s">
        <v>18</v>
      </c>
      <c r="N86" s="2" t="s">
        <v>127</v>
      </c>
      <c r="O86" s="2" t="s">
        <v>127</v>
      </c>
      <c r="P86" s="2" t="s">
        <v>127</v>
      </c>
      <c r="Q86" s="5" t="s">
        <v>127</v>
      </c>
    </row>
    <row r="87" spans="1:18" ht="41.25" customHeight="1" x14ac:dyDescent="0.25">
      <c r="A87" s="2" t="str">
        <f>"PAED"&amp;TEXT(Table56[[#This Row],[Count]],"000")&amp;"."&amp;IF(Table56[[#This Row],[Category]]="Essential","E",IF(Table56[[#This Row],[Category]]="Discretionary","D","O"))</f>
        <v>PAED051.D</v>
      </c>
      <c r="B87" s="2">
        <f>MAX(Table55[Count])+ROWS(INDEX(Table56[Count],1):Table56[[#This Row],[Count]])</f>
        <v>51</v>
      </c>
      <c r="C87" s="5" t="s">
        <v>66</v>
      </c>
      <c r="D87" s="5" t="s">
        <v>1383</v>
      </c>
      <c r="E87" s="2" t="s">
        <v>18</v>
      </c>
      <c r="N87" s="2" t="s">
        <v>127</v>
      </c>
      <c r="O87" s="2" t="s">
        <v>127</v>
      </c>
      <c r="P87" s="2" t="s">
        <v>127</v>
      </c>
      <c r="Q87" s="5" t="s">
        <v>127</v>
      </c>
    </row>
    <row r="88" spans="1:18" ht="45" x14ac:dyDescent="0.25">
      <c r="A88" s="2" t="str">
        <f>"PAED"&amp;TEXT(Table56[[#This Row],[Count]],"000")&amp;"."&amp;IF(Table56[[#This Row],[Category]]="Essential","E",IF(Table56[[#This Row],[Category]]="Discretionary","D","O"))</f>
        <v>PAED052.E</v>
      </c>
      <c r="B88" s="2">
        <f>MAX(Table55[Count])+ROWS(INDEX(Table56[Count],1):Table56[[#This Row],[Count]])</f>
        <v>52</v>
      </c>
      <c r="C88" s="5" t="s">
        <v>66</v>
      </c>
      <c r="D88" s="5" t="s">
        <v>1384</v>
      </c>
      <c r="E88" s="2" t="s">
        <v>13</v>
      </c>
      <c r="N88" s="2" t="s">
        <v>127</v>
      </c>
      <c r="O88" s="2" t="s">
        <v>127</v>
      </c>
      <c r="P88" s="2" t="s">
        <v>127</v>
      </c>
      <c r="Q88" s="5" t="s">
        <v>127</v>
      </c>
    </row>
    <row r="89" spans="1:18" ht="30" x14ac:dyDescent="0.25">
      <c r="A89" s="2" t="str">
        <f>"PAED"&amp;TEXT(Table56[[#This Row],[Count]],"000")&amp;"."&amp;IF(Table56[[#This Row],[Category]]="Essential","E",IF(Table56[[#This Row],[Category]]="Discretionary","D","O"))</f>
        <v>PAED053.E</v>
      </c>
      <c r="B89" s="2">
        <f>MAX(Table55[Count])+ROWS(INDEX(Table56[Count],1):Table56[[#This Row],[Count]])</f>
        <v>53</v>
      </c>
      <c r="C89" s="5" t="s">
        <v>66</v>
      </c>
      <c r="D89" s="5" t="s">
        <v>1385</v>
      </c>
      <c r="E89" s="16" t="s">
        <v>13</v>
      </c>
      <c r="N89" s="2" t="s">
        <v>127</v>
      </c>
      <c r="O89" s="2" t="s">
        <v>127</v>
      </c>
      <c r="P89" s="2" t="s">
        <v>127</v>
      </c>
      <c r="Q89" s="5" t="s">
        <v>127</v>
      </c>
    </row>
    <row r="90" spans="1:18" ht="30" x14ac:dyDescent="0.25">
      <c r="A90" s="2" t="str">
        <f>"PAED"&amp;TEXT(Table56[[#This Row],[Count]],"000")&amp;"."&amp;IF(Table56[[#This Row],[Category]]="Essential","E",IF(Table56[[#This Row],[Category]]="Discretionary","D","O"))</f>
        <v>PAED054.E</v>
      </c>
      <c r="B90" s="2">
        <f>MAX(Table55[Count])+ROWS(INDEX(Table56[Count],1):Table56[[#This Row],[Count]])</f>
        <v>54</v>
      </c>
      <c r="C90" s="5" t="s">
        <v>66</v>
      </c>
      <c r="D90" s="5" t="s">
        <v>1386</v>
      </c>
      <c r="E90" s="16" t="s">
        <v>13</v>
      </c>
      <c r="N90" s="2" t="s">
        <v>127</v>
      </c>
      <c r="O90" s="2" t="s">
        <v>127</v>
      </c>
      <c r="P90" s="2" t="s">
        <v>127</v>
      </c>
      <c r="Q90" s="5" t="s">
        <v>127</v>
      </c>
    </row>
    <row r="91" spans="1:18" ht="30" x14ac:dyDescent="0.25">
      <c r="A91" s="2" t="str">
        <f>"PAED"&amp;TEXT(Table56[[#This Row],[Count]],"000")&amp;"."&amp;IF(Table56[[#This Row],[Category]]="Essential","E",IF(Table56[[#This Row],[Category]]="Discretionary","D","O"))</f>
        <v>PAED055.E</v>
      </c>
      <c r="B91" s="2">
        <f>MAX(Table55[Count])+ROWS(INDEX(Table56[Count],1):Table56[[#This Row],[Count]])</f>
        <v>55</v>
      </c>
      <c r="C91" s="5" t="s">
        <v>66</v>
      </c>
      <c r="D91" s="5" t="s">
        <v>1387</v>
      </c>
      <c r="E91" s="16" t="s">
        <v>13</v>
      </c>
      <c r="N91" s="2" t="s">
        <v>127</v>
      </c>
      <c r="O91" s="2" t="s">
        <v>127</v>
      </c>
      <c r="P91" s="2" t="s">
        <v>127</v>
      </c>
      <c r="Q91" s="5" t="s">
        <v>127</v>
      </c>
    </row>
    <row r="92" spans="1:18" ht="45" x14ac:dyDescent="0.25">
      <c r="A92" s="2" t="str">
        <f>"PAED"&amp;TEXT(Table56[[#This Row],[Count]],"000")&amp;"."&amp;IF(Table56[[#This Row],[Category]]="Essential","E",IF(Table56[[#This Row],[Category]]="Discretionary","D","O"))</f>
        <v>PAED056.D</v>
      </c>
      <c r="B92" s="2">
        <f>MAX(Table55[Count])+ROWS(INDEX(Table56[Count],1):Table56[[#This Row],[Count]])</f>
        <v>56</v>
      </c>
      <c r="C92" s="5" t="s">
        <v>66</v>
      </c>
      <c r="D92" s="5" t="s">
        <v>1388</v>
      </c>
      <c r="E92" s="18" t="s">
        <v>18</v>
      </c>
      <c r="N92" s="2" t="s">
        <v>127</v>
      </c>
      <c r="O92" s="2" t="s">
        <v>127</v>
      </c>
      <c r="P92" s="2" t="s">
        <v>127</v>
      </c>
      <c r="Q92" s="5" t="s">
        <v>127</v>
      </c>
    </row>
    <row r="94" spans="1:18" x14ac:dyDescent="0.25">
      <c r="A94" s="58" t="s">
        <v>67</v>
      </c>
      <c r="B94" s="58"/>
      <c r="C94" s="58"/>
      <c r="D94" s="58"/>
      <c r="E94" s="58"/>
      <c r="F94" s="58"/>
      <c r="G94" s="58"/>
      <c r="H94" s="58"/>
      <c r="I94" s="58"/>
      <c r="J94" s="58"/>
      <c r="K94" s="58"/>
      <c r="L94" s="58"/>
      <c r="M94" s="58"/>
      <c r="N94" s="58"/>
      <c r="O94" s="58"/>
      <c r="P94" s="58"/>
      <c r="Q94" s="58"/>
      <c r="R94" s="58"/>
    </row>
    <row r="96" spans="1:18" x14ac:dyDescent="0.25">
      <c r="A96" s="6" t="s">
        <v>120</v>
      </c>
      <c r="B96" s="6" t="s">
        <v>121</v>
      </c>
      <c r="C96" s="7" t="s">
        <v>122</v>
      </c>
      <c r="D96" s="7" t="s">
        <v>123</v>
      </c>
      <c r="E96" s="6" t="s">
        <v>8</v>
      </c>
      <c r="F96" s="6" t="s">
        <v>124</v>
      </c>
      <c r="G96" s="6" t="s">
        <v>154</v>
      </c>
      <c r="H96" s="6" t="s">
        <v>155</v>
      </c>
      <c r="I96" s="6" t="s">
        <v>156</v>
      </c>
      <c r="J96" s="6" t="s">
        <v>157</v>
      </c>
      <c r="K96" s="6" t="s">
        <v>158</v>
      </c>
      <c r="L96" s="6" t="s">
        <v>159</v>
      </c>
      <c r="M96" s="6" t="s">
        <v>160</v>
      </c>
      <c r="N96" s="6" t="s">
        <v>161</v>
      </c>
      <c r="O96" s="6" t="s">
        <v>162</v>
      </c>
      <c r="P96" s="6" t="s">
        <v>163</v>
      </c>
      <c r="Q96" s="7" t="s">
        <v>164</v>
      </c>
      <c r="R96" s="7" t="s">
        <v>125</v>
      </c>
    </row>
    <row r="97" spans="1:18" x14ac:dyDescent="0.25">
      <c r="A97" s="2" t="str">
        <f>"PAED"&amp;TEXT(Table57[[#This Row],[Count]],"000")&amp;"."&amp;IF(Table57[[#This Row],[Category]]="Essential","E",IF(Table57[[#This Row],[Category]]="Discretionary","D","O"))</f>
        <v>PAED057.E</v>
      </c>
      <c r="B97" s="2">
        <f>MAX(Table56[Count])+ROWS(INDEX(Table57[Count],1):Table57[[#This Row],[Count]])</f>
        <v>57</v>
      </c>
      <c r="C97" s="5" t="s">
        <v>67</v>
      </c>
      <c r="D97" s="5" t="s">
        <v>1389</v>
      </c>
      <c r="E97" s="16" t="s">
        <v>13</v>
      </c>
      <c r="M97" s="2" t="s">
        <v>127</v>
      </c>
      <c r="N97" s="2" t="s">
        <v>127</v>
      </c>
      <c r="O97" s="2" t="s">
        <v>127</v>
      </c>
      <c r="P97" s="2" t="s">
        <v>127</v>
      </c>
      <c r="Q97" s="5" t="s">
        <v>127</v>
      </c>
    </row>
    <row r="98" spans="1:18" x14ac:dyDescent="0.25">
      <c r="A98" s="2" t="str">
        <f>"PAED"&amp;TEXT(Table57[[#This Row],[Count]],"000")&amp;"."&amp;IF(Table57[[#This Row],[Category]]="Essential","E",IF(Table57[[#This Row],[Category]]="Discretionary","D","O"))</f>
        <v>PAED058.E</v>
      </c>
      <c r="B98" s="2">
        <f>MAX(Table56[Count])+ROWS(INDEX(Table57[Count],1):Table57[[#This Row],[Count]])</f>
        <v>58</v>
      </c>
      <c r="C98" s="5" t="s">
        <v>67</v>
      </c>
      <c r="D98" s="5" t="s">
        <v>1390</v>
      </c>
      <c r="E98" s="16" t="s">
        <v>13</v>
      </c>
      <c r="M98" s="2" t="s">
        <v>127</v>
      </c>
      <c r="N98" s="2" t="s">
        <v>127</v>
      </c>
      <c r="O98" s="2" t="s">
        <v>127</v>
      </c>
      <c r="P98" s="2" t="s">
        <v>127</v>
      </c>
      <c r="Q98" s="5" t="s">
        <v>127</v>
      </c>
    </row>
    <row r="99" spans="1:18" x14ac:dyDescent="0.25">
      <c r="A99" s="2" t="str">
        <f>"PAED"&amp;TEXT(Table57[[#This Row],[Count]],"000")&amp;"."&amp;IF(Table57[[#This Row],[Category]]="Essential","E",IF(Table57[[#This Row],[Category]]="Discretionary","D","O"))</f>
        <v>PAED059.E</v>
      </c>
      <c r="B99" s="2">
        <f>MAX(Table56[Count])+ROWS(INDEX(Table57[Count],1):Table57[[#This Row],[Count]])</f>
        <v>59</v>
      </c>
      <c r="C99" s="5" t="s">
        <v>67</v>
      </c>
      <c r="D99" s="5" t="s">
        <v>1391</v>
      </c>
      <c r="E99" s="16" t="s">
        <v>13</v>
      </c>
      <c r="N99" s="2" t="s">
        <v>127</v>
      </c>
      <c r="O99" s="2" t="s">
        <v>127</v>
      </c>
      <c r="P99" s="2" t="s">
        <v>127</v>
      </c>
      <c r="Q99" s="5" t="s">
        <v>127</v>
      </c>
    </row>
    <row r="101" spans="1:18" x14ac:dyDescent="0.25">
      <c r="A101" s="58" t="s">
        <v>69</v>
      </c>
      <c r="B101" s="58"/>
      <c r="C101" s="58"/>
      <c r="D101" s="58"/>
      <c r="E101" s="58"/>
      <c r="F101" s="58"/>
      <c r="G101" s="58"/>
      <c r="H101" s="58"/>
      <c r="I101" s="58"/>
      <c r="J101" s="58"/>
      <c r="K101" s="58"/>
      <c r="L101" s="58"/>
      <c r="M101" s="58"/>
      <c r="N101" s="58"/>
      <c r="O101" s="58"/>
      <c r="P101" s="58"/>
      <c r="Q101" s="58"/>
      <c r="R101" s="58"/>
    </row>
    <row r="103" spans="1:18" x14ac:dyDescent="0.25">
      <c r="A103" s="6" t="s">
        <v>120</v>
      </c>
      <c r="B103" s="6" t="s">
        <v>121</v>
      </c>
      <c r="C103" s="7" t="s">
        <v>122</v>
      </c>
      <c r="D103" s="7" t="s">
        <v>123</v>
      </c>
      <c r="E103" s="6" t="s">
        <v>8</v>
      </c>
      <c r="F103" s="6" t="s">
        <v>124</v>
      </c>
      <c r="G103" s="6" t="s">
        <v>154</v>
      </c>
      <c r="H103" s="6" t="s">
        <v>155</v>
      </c>
      <c r="I103" s="6" t="s">
        <v>156</v>
      </c>
      <c r="J103" s="6" t="s">
        <v>157</v>
      </c>
      <c r="K103" s="6" t="s">
        <v>158</v>
      </c>
      <c r="L103" s="6" t="s">
        <v>159</v>
      </c>
      <c r="M103" s="6" t="s">
        <v>160</v>
      </c>
      <c r="N103" s="6" t="s">
        <v>161</v>
      </c>
      <c r="O103" s="6" t="s">
        <v>162</v>
      </c>
      <c r="P103" s="6" t="s">
        <v>163</v>
      </c>
      <c r="Q103" s="7" t="s">
        <v>164</v>
      </c>
      <c r="R103" s="7" t="s">
        <v>125</v>
      </c>
    </row>
    <row r="104" spans="1:18" ht="45" x14ac:dyDescent="0.25">
      <c r="A104" s="2" t="str">
        <f>"PAED"&amp;TEXT(Table58[[#This Row],[Count]],"000")&amp;"."&amp;IF(Table58[[#This Row],[Category]]="Essential","E",IF(Table58[[#This Row],[Category]]="Discretionary","D","O"))</f>
        <v>PAED060.E</v>
      </c>
      <c r="B104" s="2">
        <f>MAX(Table57[Count])+ROWS(INDEX(Table58[Count],1):Table58[[#This Row],[Count]])</f>
        <v>60</v>
      </c>
      <c r="C104" s="5" t="s">
        <v>69</v>
      </c>
      <c r="D104" s="5" t="s">
        <v>1392</v>
      </c>
      <c r="E104" s="16" t="s">
        <v>13</v>
      </c>
      <c r="N104" s="2" t="s">
        <v>127</v>
      </c>
      <c r="O104" s="2" t="s">
        <v>127</v>
      </c>
      <c r="P104" s="2" t="s">
        <v>127</v>
      </c>
      <c r="Q104" s="5" t="s">
        <v>127</v>
      </c>
    </row>
    <row r="105" spans="1:18" ht="45" x14ac:dyDescent="0.25">
      <c r="A105" s="2" t="str">
        <f>"PAED"&amp;TEXT(Table58[[#This Row],[Count]],"000")&amp;"."&amp;IF(Table58[[#This Row],[Category]]="Essential","E",IF(Table58[[#This Row],[Category]]="Discretionary","D","O"))</f>
        <v>PAED061.E</v>
      </c>
      <c r="B105" s="2">
        <f>MAX(Table57[Count])+ROWS(INDEX(Table58[Count],1):Table58[[#This Row],[Count]])</f>
        <v>61</v>
      </c>
      <c r="C105" s="5" t="s">
        <v>69</v>
      </c>
      <c r="D105" s="5" t="s">
        <v>1393</v>
      </c>
      <c r="E105" s="16" t="s">
        <v>13</v>
      </c>
      <c r="N105" s="2" t="s">
        <v>127</v>
      </c>
      <c r="O105" s="2" t="s">
        <v>127</v>
      </c>
      <c r="P105" s="2" t="s">
        <v>127</v>
      </c>
      <c r="Q105" s="5" t="s">
        <v>127</v>
      </c>
    </row>
    <row r="106" spans="1:18" ht="45" x14ac:dyDescent="0.25">
      <c r="A106" s="2" t="str">
        <f>"PAED"&amp;TEXT(Table58[[#This Row],[Count]],"000")&amp;"."&amp;IF(Table58[[#This Row],[Category]]="Essential","E",IF(Table58[[#This Row],[Category]]="Discretionary","D","O"))</f>
        <v>PAED062.O</v>
      </c>
      <c r="B106" s="2">
        <f>MAX(Table57[Count])+ROWS(INDEX(Table58[Count],1):Table58[[#This Row],[Count]])</f>
        <v>62</v>
      </c>
      <c r="C106" s="5" t="s">
        <v>69</v>
      </c>
      <c r="D106" s="5" t="s">
        <v>1394</v>
      </c>
      <c r="E106" s="2" t="s">
        <v>23</v>
      </c>
      <c r="N106" s="2" t="s">
        <v>127</v>
      </c>
      <c r="O106" s="2" t="s">
        <v>127</v>
      </c>
      <c r="P106" s="2" t="s">
        <v>127</v>
      </c>
      <c r="Q106" s="5" t="s">
        <v>127</v>
      </c>
      <c r="R106" s="5" t="s">
        <v>1237</v>
      </c>
    </row>
    <row r="107" spans="1:18" ht="45" x14ac:dyDescent="0.25">
      <c r="A107" s="2" t="str">
        <f>"PAED"&amp;TEXT(Table58[[#This Row],[Count]],"000")&amp;"."&amp;IF(Table58[[#This Row],[Category]]="Essential","E",IF(Table58[[#This Row],[Category]]="Discretionary","D","O"))</f>
        <v>PAED063.O</v>
      </c>
      <c r="B107" s="2">
        <f>MAX(Table57[Count])+ROWS(INDEX(Table58[Count],1):Table58[[#This Row],[Count]])</f>
        <v>63</v>
      </c>
      <c r="C107" s="5" t="s">
        <v>69</v>
      </c>
      <c r="D107" s="5" t="s">
        <v>1395</v>
      </c>
      <c r="E107" s="2" t="s">
        <v>23</v>
      </c>
      <c r="N107" s="2" t="s">
        <v>127</v>
      </c>
      <c r="O107" s="2" t="s">
        <v>127</v>
      </c>
      <c r="P107" s="2" t="s">
        <v>127</v>
      </c>
      <c r="Q107" s="5" t="s">
        <v>127</v>
      </c>
      <c r="R107" s="5" t="s">
        <v>1237</v>
      </c>
    </row>
    <row r="108" spans="1:18" ht="45" x14ac:dyDescent="0.25">
      <c r="A108" s="2" t="str">
        <f>"PAED"&amp;TEXT(Table58[[#This Row],[Count]],"000")&amp;"."&amp;IF(Table58[[#This Row],[Category]]="Essential","E",IF(Table58[[#This Row],[Category]]="Discretionary","D","O"))</f>
        <v>PAED064.O</v>
      </c>
      <c r="B108" s="2">
        <f>MAX(Table57[Count])+ROWS(INDEX(Table58[Count],1):Table58[[#This Row],[Count]])</f>
        <v>64</v>
      </c>
      <c r="C108" s="5" t="s">
        <v>69</v>
      </c>
      <c r="D108" s="5" t="s">
        <v>1396</v>
      </c>
      <c r="E108" s="2" t="s">
        <v>23</v>
      </c>
      <c r="N108" s="2" t="s">
        <v>127</v>
      </c>
      <c r="O108" s="2" t="s">
        <v>127</v>
      </c>
      <c r="P108" s="2" t="s">
        <v>127</v>
      </c>
      <c r="Q108" s="5" t="s">
        <v>127</v>
      </c>
      <c r="R108" s="5" t="s">
        <v>1237</v>
      </c>
    </row>
    <row r="109" spans="1:18" ht="30" x14ac:dyDescent="0.25">
      <c r="A109" s="2" t="str">
        <f>"PAED"&amp;TEXT(Table58[[#This Row],[Count]],"000")&amp;"."&amp;IF(Table58[[#This Row],[Category]]="Essential","E",IF(Table58[[#This Row],[Category]]="Discretionary","D","O"))</f>
        <v>PAED065.E</v>
      </c>
      <c r="B109" s="2">
        <f>MAX(Table57[Count])+ROWS(INDEX(Table58[Count],1):Table58[[#This Row],[Count]])</f>
        <v>65</v>
      </c>
      <c r="C109" s="5" t="s">
        <v>69</v>
      </c>
      <c r="D109" s="5" t="s">
        <v>1397</v>
      </c>
      <c r="E109" s="16" t="s">
        <v>13</v>
      </c>
      <c r="N109" s="2" t="s">
        <v>127</v>
      </c>
      <c r="O109" s="2" t="s">
        <v>127</v>
      </c>
      <c r="P109" s="2" t="s">
        <v>127</v>
      </c>
      <c r="Q109" s="5" t="s">
        <v>127</v>
      </c>
    </row>
    <row r="110" spans="1:18" ht="30" x14ac:dyDescent="0.25">
      <c r="A110" s="2" t="str">
        <f>"PAED"&amp;TEXT(Table58[[#This Row],[Count]],"000")&amp;"."&amp;IF(Table58[[#This Row],[Category]]="Essential","E",IF(Table58[[#This Row],[Category]]="Discretionary","D","O"))</f>
        <v>PAED066.E</v>
      </c>
      <c r="B110" s="2">
        <f>MAX(Table57[Count])+ROWS(INDEX(Table58[Count],1):Table58[[#This Row],[Count]])</f>
        <v>66</v>
      </c>
      <c r="C110" s="5" t="s">
        <v>69</v>
      </c>
      <c r="D110" s="5" t="s">
        <v>1398</v>
      </c>
      <c r="E110" s="16" t="s">
        <v>13</v>
      </c>
      <c r="N110" s="2" t="s">
        <v>127</v>
      </c>
      <c r="O110" s="2" t="s">
        <v>127</v>
      </c>
      <c r="P110" s="2" t="s">
        <v>127</v>
      </c>
      <c r="Q110" s="5" t="s">
        <v>127</v>
      </c>
    </row>
    <row r="112" spans="1:18" x14ac:dyDescent="0.25">
      <c r="A112" s="58" t="s">
        <v>71</v>
      </c>
      <c r="B112" s="58"/>
      <c r="C112" s="58"/>
      <c r="D112" s="58"/>
      <c r="E112" s="58"/>
      <c r="F112" s="58"/>
      <c r="G112" s="58"/>
      <c r="H112" s="58"/>
      <c r="I112" s="58"/>
      <c r="J112" s="58"/>
      <c r="K112" s="58"/>
      <c r="L112" s="58"/>
      <c r="M112" s="58"/>
      <c r="N112" s="58"/>
      <c r="O112" s="58"/>
      <c r="P112" s="58"/>
      <c r="Q112" s="58"/>
      <c r="R112" s="58"/>
    </row>
    <row r="114" spans="1:18" x14ac:dyDescent="0.25">
      <c r="A114" s="6" t="s">
        <v>120</v>
      </c>
      <c r="B114" s="6" t="s">
        <v>121</v>
      </c>
      <c r="C114" s="7" t="s">
        <v>122</v>
      </c>
      <c r="D114" s="7" t="s">
        <v>123</v>
      </c>
      <c r="E114" s="6" t="s">
        <v>8</v>
      </c>
      <c r="F114" s="6" t="s">
        <v>124</v>
      </c>
      <c r="G114" s="6" t="s">
        <v>154</v>
      </c>
      <c r="H114" s="6" t="s">
        <v>155</v>
      </c>
      <c r="I114" s="6" t="s">
        <v>156</v>
      </c>
      <c r="J114" s="6" t="s">
        <v>157</v>
      </c>
      <c r="K114" s="6" t="s">
        <v>158</v>
      </c>
      <c r="L114" s="6" t="s">
        <v>159</v>
      </c>
      <c r="M114" s="6" t="s">
        <v>160</v>
      </c>
      <c r="N114" s="6" t="s">
        <v>161</v>
      </c>
      <c r="O114" s="6" t="s">
        <v>162</v>
      </c>
      <c r="P114" s="6" t="s">
        <v>163</v>
      </c>
      <c r="Q114" s="7" t="s">
        <v>164</v>
      </c>
      <c r="R114" s="7" t="s">
        <v>125</v>
      </c>
    </row>
    <row r="115" spans="1:18" ht="30" x14ac:dyDescent="0.25">
      <c r="A115" s="2" t="str">
        <f>"PAED"&amp;TEXT(Table59[[#This Row],[Count]],"000")&amp;"."&amp;IF(Table59[[#This Row],[Category]]="Essential","E",IF(Table59[[#This Row],[Category]]="Discretionary","D","O"))</f>
        <v>PAED067.E</v>
      </c>
      <c r="B115" s="2">
        <f>MAX(Table58[Count])+ROWS(INDEX(Table59[Count],1):Table59[[#This Row],[Count]])</f>
        <v>67</v>
      </c>
      <c r="C115" s="5" t="s">
        <v>71</v>
      </c>
      <c r="D115" s="5" t="s">
        <v>1399</v>
      </c>
      <c r="E115" s="16" t="s">
        <v>13</v>
      </c>
      <c r="N115" s="2" t="s">
        <v>127</v>
      </c>
      <c r="O115" s="2" t="s">
        <v>127</v>
      </c>
      <c r="P115" s="2" t="s">
        <v>127</v>
      </c>
      <c r="Q115" s="5" t="s">
        <v>127</v>
      </c>
    </row>
    <row r="116" spans="1:18" ht="30" x14ac:dyDescent="0.25">
      <c r="A116" s="2" t="str">
        <f>"PAED"&amp;TEXT(Table59[[#This Row],[Count]],"000")&amp;"."&amp;IF(Table59[[#This Row],[Category]]="Essential","E",IF(Table59[[#This Row],[Category]]="Discretionary","D","O"))</f>
        <v>PAED068.O</v>
      </c>
      <c r="B116" s="2">
        <f>MAX(Table58[Count])+ROWS(INDEX(Table59[Count],1):Table59[[#This Row],[Count]])</f>
        <v>68</v>
      </c>
      <c r="C116" s="5" t="s">
        <v>71</v>
      </c>
      <c r="D116" s="5" t="s">
        <v>400</v>
      </c>
      <c r="E116" s="2" t="s">
        <v>23</v>
      </c>
      <c r="N116" s="2" t="s">
        <v>127</v>
      </c>
      <c r="O116" s="2" t="s">
        <v>127</v>
      </c>
      <c r="P116" s="2" t="s">
        <v>127</v>
      </c>
      <c r="Q116" s="5" t="s">
        <v>127</v>
      </c>
    </row>
    <row r="117" spans="1:18" ht="30" x14ac:dyDescent="0.25">
      <c r="A117" s="2" t="str">
        <f>"PAED"&amp;TEXT(Table59[[#This Row],[Count]],"000")&amp;"."&amp;IF(Table59[[#This Row],[Category]]="Essential","E",IF(Table59[[#This Row],[Category]]="Discretionary","D","O"))</f>
        <v>PAED069.E</v>
      </c>
      <c r="B117" s="2">
        <f>MAX(Table58[Count])+ROWS(INDEX(Table59[Count],1):Table59[[#This Row],[Count]])</f>
        <v>69</v>
      </c>
      <c r="C117" s="5" t="s">
        <v>71</v>
      </c>
      <c r="D117" s="5" t="s">
        <v>1400</v>
      </c>
      <c r="E117" s="16" t="s">
        <v>13</v>
      </c>
      <c r="N117" s="2" t="s">
        <v>127</v>
      </c>
      <c r="O117" s="2" t="s">
        <v>127</v>
      </c>
      <c r="P117" s="2" t="s">
        <v>127</v>
      </c>
      <c r="Q117" s="5" t="s">
        <v>127</v>
      </c>
    </row>
    <row r="118" spans="1:18" ht="30" x14ac:dyDescent="0.25">
      <c r="A118" s="2" t="str">
        <f>"PAED"&amp;TEXT(Table59[[#This Row],[Count]],"000")&amp;"."&amp;IF(Table59[[#This Row],[Category]]="Essential","E",IF(Table59[[#This Row],[Category]]="Discretionary","D","O"))</f>
        <v>PAED070.E</v>
      </c>
      <c r="B118" s="2">
        <f>MAX(Table58[Count])+ROWS(INDEX(Table59[Count],1):Table59[[#This Row],[Count]])</f>
        <v>70</v>
      </c>
      <c r="C118" s="5" t="s">
        <v>71</v>
      </c>
      <c r="D118" s="5" t="s">
        <v>1401</v>
      </c>
      <c r="E118" s="16" t="s">
        <v>13</v>
      </c>
      <c r="L118" s="2" t="s">
        <v>127</v>
      </c>
      <c r="M118" s="2" t="s">
        <v>127</v>
      </c>
      <c r="N118" s="2" t="s">
        <v>127</v>
      </c>
      <c r="O118" s="2" t="s">
        <v>127</v>
      </c>
      <c r="P118" s="2" t="s">
        <v>127</v>
      </c>
      <c r="Q118" s="5" t="s">
        <v>127</v>
      </c>
    </row>
    <row r="119" spans="1:18" ht="30" x14ac:dyDescent="0.25">
      <c r="A119" s="2" t="str">
        <f>"PAED"&amp;TEXT(Table59[[#This Row],[Count]],"000")&amp;"."&amp;IF(Table59[[#This Row],[Category]]="Essential","E",IF(Table59[[#This Row],[Category]]="Discretionary","D","O"))</f>
        <v>PAED071.E</v>
      </c>
      <c r="B119" s="2">
        <f>MAX(Table58[Count])+ROWS(INDEX(Table59[Count],1):Table59[[#This Row],[Count]])</f>
        <v>71</v>
      </c>
      <c r="C119" s="5" t="s">
        <v>71</v>
      </c>
      <c r="D119" s="5" t="s">
        <v>1343</v>
      </c>
      <c r="E119" s="16" t="s">
        <v>13</v>
      </c>
      <c r="N119" s="5" t="s">
        <v>127</v>
      </c>
      <c r="O119" s="5" t="s">
        <v>127</v>
      </c>
      <c r="P119" s="5" t="s">
        <v>127</v>
      </c>
      <c r="Q119" s="5" t="s">
        <v>127</v>
      </c>
    </row>
    <row r="121" spans="1:18" x14ac:dyDescent="0.25">
      <c r="A121" s="58" t="s">
        <v>74</v>
      </c>
      <c r="B121" s="58"/>
      <c r="C121" s="58"/>
      <c r="D121" s="58"/>
      <c r="E121" s="58"/>
      <c r="F121" s="58"/>
      <c r="G121" s="58"/>
      <c r="H121" s="58"/>
      <c r="I121" s="58"/>
      <c r="J121" s="58"/>
      <c r="K121" s="58"/>
      <c r="L121" s="58"/>
      <c r="M121" s="58"/>
      <c r="N121" s="58"/>
      <c r="O121" s="58"/>
      <c r="P121" s="58"/>
      <c r="Q121" s="58"/>
      <c r="R121" s="58"/>
    </row>
    <row r="123" spans="1:18" x14ac:dyDescent="0.25">
      <c r="A123" s="6" t="s">
        <v>120</v>
      </c>
      <c r="B123" s="6" t="s">
        <v>121</v>
      </c>
      <c r="C123" s="7" t="s">
        <v>122</v>
      </c>
      <c r="D123" s="7" t="s">
        <v>123</v>
      </c>
      <c r="E123" s="6" t="s">
        <v>8</v>
      </c>
      <c r="F123" s="6" t="s">
        <v>124</v>
      </c>
      <c r="G123" s="6" t="s">
        <v>154</v>
      </c>
      <c r="H123" s="6" t="s">
        <v>155</v>
      </c>
      <c r="I123" s="6" t="s">
        <v>156</v>
      </c>
      <c r="J123" s="6" t="s">
        <v>157</v>
      </c>
      <c r="K123" s="6" t="s">
        <v>158</v>
      </c>
      <c r="L123" s="6" t="s">
        <v>159</v>
      </c>
      <c r="M123" s="6" t="s">
        <v>160</v>
      </c>
      <c r="N123" s="6" t="s">
        <v>161</v>
      </c>
      <c r="O123" s="6" t="s">
        <v>162</v>
      </c>
      <c r="P123" s="6" t="s">
        <v>163</v>
      </c>
      <c r="Q123" s="7" t="s">
        <v>164</v>
      </c>
      <c r="R123" s="7" t="s">
        <v>125</v>
      </c>
    </row>
    <row r="124" spans="1:18" ht="30" x14ac:dyDescent="0.25">
      <c r="A124" s="2" t="str">
        <f>"PAED"&amp;TEXT(Table60[[#This Row],[Count]],"000")&amp;"."&amp;IF(Table60[[#This Row],[Category]]="Essential","E",IF(Table60[[#This Row],[Category]]="Discretionary","D","O"))</f>
        <v>PAED072.E</v>
      </c>
      <c r="B124" s="2">
        <f>MAX(Table59[Count])+ROWS(INDEX(Table60[Count],1):Table60[[#This Row],[Count]])</f>
        <v>72</v>
      </c>
      <c r="C124" s="5" t="s">
        <v>74</v>
      </c>
      <c r="D124" s="5" t="s">
        <v>1402</v>
      </c>
      <c r="E124" s="16" t="s">
        <v>13</v>
      </c>
      <c r="N124" s="5" t="s">
        <v>127</v>
      </c>
      <c r="O124" s="5" t="s">
        <v>127</v>
      </c>
      <c r="P124" s="5" t="s">
        <v>127</v>
      </c>
      <c r="Q124" s="5" t="s">
        <v>127</v>
      </c>
    </row>
    <row r="125" spans="1:18" ht="30" x14ac:dyDescent="0.25">
      <c r="A125" s="2" t="str">
        <f>"PAED"&amp;TEXT(Table60[[#This Row],[Count]],"000")&amp;"."&amp;IF(Table60[[#This Row],[Category]]="Essential","E",IF(Table60[[#This Row],[Category]]="Discretionary","D","O"))</f>
        <v>PAED073.E</v>
      </c>
      <c r="B125" s="2">
        <f>MAX(Table59[Count])+ROWS(INDEX(Table60[Count],1):Table60[[#This Row],[Count]])</f>
        <v>73</v>
      </c>
      <c r="C125" s="5" t="s">
        <v>74</v>
      </c>
      <c r="D125" s="5" t="s">
        <v>1403</v>
      </c>
      <c r="E125" s="16" t="s">
        <v>13</v>
      </c>
      <c r="N125" s="5" t="s">
        <v>127</v>
      </c>
      <c r="O125" s="5" t="s">
        <v>127</v>
      </c>
      <c r="P125" s="5" t="s">
        <v>127</v>
      </c>
      <c r="Q125" s="5" t="s">
        <v>127</v>
      </c>
    </row>
    <row r="126" spans="1:18" x14ac:dyDescent="0.25">
      <c r="A126" s="2" t="str">
        <f>"PAED"&amp;TEXT(Table60[[#This Row],[Count]],"000")&amp;"."&amp;IF(Table60[[#This Row],[Category]]="Essential","E",IF(Table60[[#This Row],[Category]]="Discretionary","D","O"))</f>
        <v>PAED074.E</v>
      </c>
      <c r="B126" s="2">
        <f>MAX(Table59[Count])+ROWS(INDEX(Table60[Count],1):Table60[[#This Row],[Count]])</f>
        <v>74</v>
      </c>
      <c r="C126" s="5" t="s">
        <v>74</v>
      </c>
      <c r="D126" s="5" t="s">
        <v>1404</v>
      </c>
      <c r="E126" s="16" t="s">
        <v>13</v>
      </c>
      <c r="N126" s="2" t="s">
        <v>127</v>
      </c>
      <c r="O126" s="2" t="s">
        <v>127</v>
      </c>
      <c r="P126" s="2" t="s">
        <v>127</v>
      </c>
      <c r="Q126" s="5" t="s">
        <v>127</v>
      </c>
    </row>
    <row r="127" spans="1:18" ht="30" x14ac:dyDescent="0.25">
      <c r="A127" s="2" t="str">
        <f>"PAED"&amp;TEXT(Table60[[#This Row],[Count]],"000")&amp;"."&amp;IF(Table60[[#This Row],[Category]]="Essential","E",IF(Table60[[#This Row],[Category]]="Discretionary","D","O"))</f>
        <v>PAED075.E</v>
      </c>
      <c r="B127" s="2">
        <f>MAX(Table59[Count])+ROWS(INDEX(Table60[Count],1):Table60[[#This Row],[Count]])</f>
        <v>75</v>
      </c>
      <c r="C127" s="5" t="s">
        <v>74</v>
      </c>
      <c r="D127" s="5" t="s">
        <v>1405</v>
      </c>
      <c r="E127" s="16" t="s">
        <v>13</v>
      </c>
      <c r="O127" s="2" t="s">
        <v>127</v>
      </c>
      <c r="P127" s="2" t="s">
        <v>127</v>
      </c>
      <c r="Q127" s="5" t="s">
        <v>127</v>
      </c>
    </row>
    <row r="128" spans="1:18" ht="45" x14ac:dyDescent="0.25">
      <c r="A128" s="2" t="str">
        <f>"PAED"&amp;TEXT(Table60[[#This Row],[Count]],"000")&amp;"."&amp;IF(Table60[[#This Row],[Category]]="Essential","E",IF(Table60[[#This Row],[Category]]="Discretionary","D","O"))</f>
        <v>PAED076.E</v>
      </c>
      <c r="B128" s="2">
        <f>MAX(Table59[Count])+ROWS(INDEX(Table60[Count],1):Table60[[#This Row],[Count]])</f>
        <v>76</v>
      </c>
      <c r="C128" s="5" t="s">
        <v>74</v>
      </c>
      <c r="D128" s="5" t="s">
        <v>1406</v>
      </c>
      <c r="E128" s="16" t="s">
        <v>13</v>
      </c>
      <c r="N128" s="2" t="s">
        <v>127</v>
      </c>
      <c r="O128" s="2" t="s">
        <v>127</v>
      </c>
      <c r="P128" s="2" t="s">
        <v>127</v>
      </c>
      <c r="Q128" s="5" t="s">
        <v>127</v>
      </c>
    </row>
    <row r="129" spans="1:18" x14ac:dyDescent="0.25">
      <c r="A129" s="2" t="str">
        <f>"PAED"&amp;TEXT(Table60[[#This Row],[Count]],"000")&amp;"."&amp;IF(Table60[[#This Row],[Category]]="Essential","E",IF(Table60[[#This Row],[Category]]="Discretionary","D","O"))</f>
        <v>PAED077.E</v>
      </c>
      <c r="B129" s="2">
        <f>MAX(Table59[Count])+ROWS(INDEX(Table60[Count],1):Table60[[#This Row],[Count]])</f>
        <v>77</v>
      </c>
      <c r="C129" s="5" t="s">
        <v>74</v>
      </c>
      <c r="D129" s="5" t="s">
        <v>1389</v>
      </c>
      <c r="E129" s="16" t="s">
        <v>13</v>
      </c>
      <c r="M129" s="2" t="s">
        <v>127</v>
      </c>
      <c r="N129" s="2" t="s">
        <v>127</v>
      </c>
      <c r="O129" s="2" t="s">
        <v>127</v>
      </c>
      <c r="P129" s="2" t="s">
        <v>127</v>
      </c>
      <c r="Q129" s="5" t="s">
        <v>127</v>
      </c>
    </row>
    <row r="130" spans="1:18" x14ac:dyDescent="0.25">
      <c r="A130" s="2" t="str">
        <f>"PAED"&amp;TEXT(Table60[[#This Row],[Count]],"000")&amp;"."&amp;IF(Table60[[#This Row],[Category]]="Essential","E",IF(Table60[[#This Row],[Category]]="Discretionary","D","O"))</f>
        <v>PAED078.E</v>
      </c>
      <c r="B130" s="2">
        <f>MAX(Table59[Count])+ROWS(INDEX(Table60[Count],1):Table60[[#This Row],[Count]])</f>
        <v>78</v>
      </c>
      <c r="C130" s="5" t="s">
        <v>74</v>
      </c>
      <c r="D130" s="5" t="s">
        <v>1390</v>
      </c>
      <c r="E130" s="16" t="s">
        <v>13</v>
      </c>
      <c r="N130" s="2" t="s">
        <v>127</v>
      </c>
      <c r="O130" s="2" t="s">
        <v>127</v>
      </c>
      <c r="P130" s="2" t="s">
        <v>127</v>
      </c>
      <c r="Q130" s="5" t="s">
        <v>127</v>
      </c>
    </row>
    <row r="131" spans="1:18" x14ac:dyDescent="0.25">
      <c r="A131" s="2" t="str">
        <f>"PAED"&amp;TEXT(Table60[[#This Row],[Count]],"000")&amp;"."&amp;IF(Table60[[#This Row],[Category]]="Essential","E",IF(Table60[[#This Row],[Category]]="Discretionary","D","O"))</f>
        <v>PAED079.E</v>
      </c>
      <c r="B131" s="2">
        <f>MAX(Table59[Count])+ROWS(INDEX(Table60[Count],1):Table60[[#This Row],[Count]])</f>
        <v>79</v>
      </c>
      <c r="C131" s="5" t="s">
        <v>74</v>
      </c>
      <c r="D131" s="5" t="s">
        <v>1391</v>
      </c>
      <c r="E131" s="16" t="s">
        <v>13</v>
      </c>
      <c r="N131" s="2" t="s">
        <v>127</v>
      </c>
      <c r="O131" s="2" t="s">
        <v>127</v>
      </c>
      <c r="P131" s="2" t="s">
        <v>127</v>
      </c>
      <c r="Q131" s="5" t="s">
        <v>127</v>
      </c>
    </row>
    <row r="132" spans="1:18" x14ac:dyDescent="0.25">
      <c r="A132" s="2" t="str">
        <f>"PAED"&amp;TEXT(Table60[[#This Row],[Count]],"000")&amp;"."&amp;IF(Table60[[#This Row],[Category]]="Essential","E",IF(Table60[[#This Row],[Category]]="Discretionary","D","O"))</f>
        <v>PAED080.E</v>
      </c>
      <c r="B132" s="2">
        <f>MAX(Table59[Count])+ROWS(INDEX(Table60[Count],1):Table60[[#This Row],[Count]])</f>
        <v>80</v>
      </c>
      <c r="C132" s="5" t="s">
        <v>74</v>
      </c>
      <c r="D132" s="5" t="s">
        <v>1407</v>
      </c>
      <c r="E132" s="16" t="s">
        <v>13</v>
      </c>
      <c r="J132" s="2" t="s">
        <v>127</v>
      </c>
      <c r="K132" s="2" t="s">
        <v>127</v>
      </c>
      <c r="L132" s="2" t="s">
        <v>127</v>
      </c>
      <c r="M132" s="2" t="s">
        <v>127</v>
      </c>
      <c r="N132" s="2" t="s">
        <v>127</v>
      </c>
      <c r="O132" s="2" t="s">
        <v>127</v>
      </c>
      <c r="P132" s="2" t="s">
        <v>127</v>
      </c>
      <c r="Q132" s="5" t="s">
        <v>127</v>
      </c>
    </row>
    <row r="134" spans="1:18" x14ac:dyDescent="0.25">
      <c r="A134" s="58" t="s">
        <v>76</v>
      </c>
      <c r="B134" s="58"/>
      <c r="C134" s="58"/>
      <c r="D134" s="58"/>
      <c r="E134" s="58"/>
      <c r="F134" s="58"/>
      <c r="G134" s="58"/>
      <c r="H134" s="58"/>
      <c r="I134" s="58"/>
      <c r="J134" s="58"/>
      <c r="K134" s="58"/>
      <c r="L134" s="58"/>
      <c r="M134" s="58"/>
      <c r="N134" s="58"/>
      <c r="O134" s="58"/>
      <c r="P134" s="58"/>
      <c r="Q134" s="58"/>
      <c r="R134" s="58"/>
    </row>
    <row r="136" spans="1:18" x14ac:dyDescent="0.25">
      <c r="A136" s="6" t="s">
        <v>120</v>
      </c>
      <c r="B136" s="6" t="s">
        <v>121</v>
      </c>
      <c r="C136" s="7" t="s">
        <v>122</v>
      </c>
      <c r="D136" s="7" t="s">
        <v>123</v>
      </c>
      <c r="E136" s="6" t="s">
        <v>8</v>
      </c>
      <c r="F136" s="6" t="s">
        <v>124</v>
      </c>
      <c r="G136" s="6" t="s">
        <v>154</v>
      </c>
      <c r="H136" s="6" t="s">
        <v>155</v>
      </c>
      <c r="I136" s="6" t="s">
        <v>156</v>
      </c>
      <c r="J136" s="6" t="s">
        <v>157</v>
      </c>
      <c r="K136" s="6" t="s">
        <v>158</v>
      </c>
      <c r="L136" s="6" t="s">
        <v>159</v>
      </c>
      <c r="M136" s="6" t="s">
        <v>160</v>
      </c>
      <c r="N136" s="6" t="s">
        <v>161</v>
      </c>
      <c r="O136" s="6" t="s">
        <v>162</v>
      </c>
      <c r="P136" s="6" t="s">
        <v>163</v>
      </c>
      <c r="Q136" s="7" t="s">
        <v>164</v>
      </c>
      <c r="R136" s="7" t="s">
        <v>125</v>
      </c>
    </row>
    <row r="137" spans="1:18" ht="30" x14ac:dyDescent="0.25">
      <c r="A137" s="2" t="str">
        <f>"PAED"&amp;TEXT(Table61[[#This Row],[Count]],"000")&amp;"."&amp;IF(Table61[[#This Row],[Category]]="Essential","E",IF(Table61[[#This Row],[Category]]="Discretionary","D","O"))</f>
        <v>PAED081.E</v>
      </c>
      <c r="B137" s="2">
        <f>MAX(Table60[Count])+ROWS(INDEX(Table61[Count],1):Table61[[#This Row],[Count]])</f>
        <v>81</v>
      </c>
      <c r="C137" s="5" t="s">
        <v>76</v>
      </c>
      <c r="D137" s="5" t="s">
        <v>1408</v>
      </c>
      <c r="E137" s="16" t="s">
        <v>13</v>
      </c>
      <c r="L137" s="2" t="s">
        <v>127</v>
      </c>
      <c r="M137" s="2" t="s">
        <v>127</v>
      </c>
      <c r="N137" s="2" t="s">
        <v>127</v>
      </c>
      <c r="O137" s="2" t="s">
        <v>127</v>
      </c>
      <c r="P137" s="2" t="s">
        <v>127</v>
      </c>
      <c r="Q137" s="5" t="s">
        <v>127</v>
      </c>
    </row>
    <row r="138" spans="1:18" ht="30" x14ac:dyDescent="0.25">
      <c r="A138" s="2" t="str">
        <f>"PAED"&amp;TEXT(Table61[[#This Row],[Count]],"000")&amp;"."&amp;IF(Table61[[#This Row],[Category]]="Essential","E",IF(Table61[[#This Row],[Category]]="Discretionary","D","O"))</f>
        <v>PAED082.E</v>
      </c>
      <c r="B138" s="2">
        <f>MAX(Table60[Count])+ROWS(INDEX(Table61[Count],1):Table61[[#This Row],[Count]])</f>
        <v>82</v>
      </c>
      <c r="C138" s="5" t="s">
        <v>76</v>
      </c>
      <c r="D138" s="5" t="s">
        <v>1409</v>
      </c>
      <c r="E138" s="16" t="s">
        <v>13</v>
      </c>
      <c r="L138" s="2" t="s">
        <v>127</v>
      </c>
      <c r="M138" s="2" t="s">
        <v>127</v>
      </c>
      <c r="N138" s="2" t="s">
        <v>127</v>
      </c>
      <c r="O138" s="2" t="s">
        <v>127</v>
      </c>
      <c r="P138" s="2" t="s">
        <v>127</v>
      </c>
      <c r="Q138" s="5" t="s">
        <v>127</v>
      </c>
    </row>
    <row r="139" spans="1:18" ht="30" x14ac:dyDescent="0.25">
      <c r="A139" s="2" t="str">
        <f>"PAED"&amp;TEXT(Table61[[#This Row],[Count]],"000")&amp;"."&amp;IF(Table61[[#This Row],[Category]]="Essential","E",IF(Table61[[#This Row],[Category]]="Discretionary","D","O"))</f>
        <v>PAED083.E</v>
      </c>
      <c r="B139" s="2">
        <f>MAX(Table60[Count])+ROWS(INDEX(Table61[Count],1):Table61[[#This Row],[Count]])</f>
        <v>83</v>
      </c>
      <c r="C139" s="5" t="s">
        <v>76</v>
      </c>
      <c r="D139" s="5" t="s">
        <v>1410</v>
      </c>
      <c r="E139" s="16" t="s">
        <v>13</v>
      </c>
      <c r="L139" s="2" t="s">
        <v>127</v>
      </c>
      <c r="M139" s="2" t="s">
        <v>127</v>
      </c>
      <c r="N139" s="2" t="s">
        <v>127</v>
      </c>
      <c r="O139" s="2" t="s">
        <v>127</v>
      </c>
      <c r="P139" s="2" t="s">
        <v>127</v>
      </c>
      <c r="Q139" s="5" t="s">
        <v>127</v>
      </c>
    </row>
    <row r="140" spans="1:18" ht="30" x14ac:dyDescent="0.25">
      <c r="A140" s="2" t="str">
        <f>"PAED"&amp;TEXT(Table61[[#This Row],[Count]],"000")&amp;"."&amp;IF(Table61[[#This Row],[Category]]="Essential","E",IF(Table61[[#This Row],[Category]]="Discretionary","D","O"))</f>
        <v>PAED084.E</v>
      </c>
      <c r="B140" s="2">
        <f>MAX(Table60[Count])+ROWS(INDEX(Table61[Count],1):Table61[[#This Row],[Count]])</f>
        <v>84</v>
      </c>
      <c r="C140" s="5" t="s">
        <v>76</v>
      </c>
      <c r="D140" s="5" t="s">
        <v>1411</v>
      </c>
      <c r="E140" s="16" t="s">
        <v>13</v>
      </c>
      <c r="L140" s="2" t="s">
        <v>127</v>
      </c>
      <c r="M140" s="2" t="s">
        <v>127</v>
      </c>
      <c r="N140" s="2" t="s">
        <v>127</v>
      </c>
      <c r="O140" s="2" t="s">
        <v>127</v>
      </c>
      <c r="P140" s="2" t="s">
        <v>127</v>
      </c>
      <c r="Q140" s="5" t="s">
        <v>127</v>
      </c>
    </row>
    <row r="141" spans="1:18" ht="30" x14ac:dyDescent="0.25">
      <c r="A141" s="2" t="str">
        <f>"PAED"&amp;TEXT(Table61[[#This Row],[Count]],"000")&amp;"."&amp;IF(Table61[[#This Row],[Category]]="Essential","E",IF(Table61[[#This Row],[Category]]="Discretionary","D","O"))</f>
        <v>PAED085.E</v>
      </c>
      <c r="B141" s="2">
        <f>MAX(Table60[Count])+ROWS(INDEX(Table61[Count],1):Table61[[#This Row],[Count]])</f>
        <v>85</v>
      </c>
      <c r="C141" s="5" t="s">
        <v>76</v>
      </c>
      <c r="D141" s="5" t="s">
        <v>1412</v>
      </c>
      <c r="E141" s="16" t="s">
        <v>13</v>
      </c>
      <c r="L141" s="2" t="s">
        <v>127</v>
      </c>
      <c r="M141" s="2" t="s">
        <v>127</v>
      </c>
      <c r="N141" s="2" t="s">
        <v>127</v>
      </c>
      <c r="O141" s="2" t="s">
        <v>127</v>
      </c>
      <c r="P141" s="2" t="s">
        <v>127</v>
      </c>
      <c r="Q141" s="5" t="s">
        <v>127</v>
      </c>
    </row>
    <row r="142" spans="1:18" ht="30" x14ac:dyDescent="0.25">
      <c r="A142" s="2" t="str">
        <f>"PAED"&amp;TEXT(Table61[[#This Row],[Count]],"000")&amp;"."&amp;IF(Table61[[#This Row],[Category]]="Essential","E",IF(Table61[[#This Row],[Category]]="Discretionary","D","O"))</f>
        <v>PAED086.E</v>
      </c>
      <c r="B142" s="2">
        <f>MAX(Table60[Count])+ROWS(INDEX(Table61[Count],1):Table61[[#This Row],[Count]])</f>
        <v>86</v>
      </c>
      <c r="C142" s="5" t="s">
        <v>76</v>
      </c>
      <c r="D142" s="5" t="s">
        <v>1413</v>
      </c>
      <c r="E142" s="16" t="s">
        <v>13</v>
      </c>
      <c r="L142" s="2" t="s">
        <v>127</v>
      </c>
      <c r="M142" s="2" t="s">
        <v>127</v>
      </c>
      <c r="N142" s="2" t="s">
        <v>127</v>
      </c>
      <c r="O142" s="2" t="s">
        <v>127</v>
      </c>
      <c r="P142" s="2" t="s">
        <v>127</v>
      </c>
      <c r="Q142" s="5" t="s">
        <v>127</v>
      </c>
    </row>
    <row r="143" spans="1:18" ht="30" x14ac:dyDescent="0.25">
      <c r="A143" s="2" t="str">
        <f>"PAED"&amp;TEXT(Table61[[#This Row],[Count]],"000")&amp;"."&amp;IF(Table61[[#This Row],[Category]]="Essential","E",IF(Table61[[#This Row],[Category]]="Discretionary","D","O"))</f>
        <v>PAED087.E</v>
      </c>
      <c r="B143" s="2">
        <f>MAX(Table60[Count])+ROWS(INDEX(Table61[Count],1):Table61[[#This Row],[Count]])</f>
        <v>87</v>
      </c>
      <c r="C143" s="5" t="s">
        <v>76</v>
      </c>
      <c r="D143" s="5" t="s">
        <v>1414</v>
      </c>
      <c r="E143" s="16" t="s">
        <v>13</v>
      </c>
      <c r="L143" s="2" t="s">
        <v>127</v>
      </c>
      <c r="M143" s="2" t="s">
        <v>127</v>
      </c>
      <c r="N143" s="2" t="s">
        <v>127</v>
      </c>
      <c r="O143" s="2" t="s">
        <v>127</v>
      </c>
      <c r="P143" s="2" t="s">
        <v>127</v>
      </c>
      <c r="Q143" s="5" t="s">
        <v>127</v>
      </c>
    </row>
    <row r="144" spans="1:18" ht="30" x14ac:dyDescent="0.25">
      <c r="A144" s="2" t="str">
        <f>"PAED"&amp;TEXT(Table61[[#This Row],[Count]],"000")&amp;"."&amp;IF(Table61[[#This Row],[Category]]="Essential","E",IF(Table61[[#This Row],[Category]]="Discretionary","D","O"))</f>
        <v>PAED088.E</v>
      </c>
      <c r="B144" s="2">
        <f>MAX(Table60[Count])+ROWS(INDEX(Table61[Count],1):Table61[[#This Row],[Count]])</f>
        <v>88</v>
      </c>
      <c r="C144" s="5" t="s">
        <v>76</v>
      </c>
      <c r="D144" s="5" t="s">
        <v>1415</v>
      </c>
      <c r="E144" s="16" t="s">
        <v>13</v>
      </c>
      <c r="L144" s="2" t="s">
        <v>127</v>
      </c>
      <c r="M144" s="2" t="s">
        <v>127</v>
      </c>
      <c r="N144" s="2" t="s">
        <v>127</v>
      </c>
      <c r="O144" s="2" t="s">
        <v>127</v>
      </c>
      <c r="P144" s="2" t="s">
        <v>127</v>
      </c>
      <c r="Q144" s="5" t="s">
        <v>127</v>
      </c>
    </row>
    <row r="145" spans="1:18" x14ac:dyDescent="0.25">
      <c r="A145" s="2" t="str">
        <f>"PAED"&amp;TEXT(Table61[[#This Row],[Count]],"000")&amp;"."&amp;IF(Table61[[#This Row],[Category]]="Essential","E",IF(Table61[[#This Row],[Category]]="Discretionary","D","O"))</f>
        <v>PAED089.E</v>
      </c>
      <c r="B145" s="2">
        <f>MAX(Table60[Count])+ROWS(INDEX(Table61[Count],1):Table61[[#This Row],[Count]])</f>
        <v>89</v>
      </c>
      <c r="C145" s="5" t="s">
        <v>76</v>
      </c>
      <c r="D145" s="5" t="s">
        <v>1416</v>
      </c>
      <c r="E145" s="16" t="s">
        <v>13</v>
      </c>
      <c r="O145" s="2" t="s">
        <v>127</v>
      </c>
      <c r="P145" s="2" t="s">
        <v>127</v>
      </c>
      <c r="Q145" s="5" t="s">
        <v>127</v>
      </c>
    </row>
    <row r="146" spans="1:18" x14ac:dyDescent="0.25">
      <c r="A146" s="2" t="str">
        <f>"PAED"&amp;TEXT(Table61[[#This Row],[Count]],"000")&amp;"."&amp;IF(Table61[[#This Row],[Category]]="Essential","E",IF(Table61[[#This Row],[Category]]="Discretionary","D","O"))</f>
        <v>PAED090.E</v>
      </c>
      <c r="B146" s="2">
        <f>MAX(Table60[Count])+ROWS(INDEX(Table61[Count],1):Table61[[#This Row],[Count]])</f>
        <v>90</v>
      </c>
      <c r="C146" s="5" t="s">
        <v>76</v>
      </c>
      <c r="D146" s="5" t="s">
        <v>1389</v>
      </c>
      <c r="E146" s="16" t="s">
        <v>13</v>
      </c>
      <c r="M146" s="2" t="s">
        <v>127</v>
      </c>
      <c r="N146" s="2" t="s">
        <v>127</v>
      </c>
      <c r="O146" s="2" t="s">
        <v>127</v>
      </c>
      <c r="P146" s="2" t="s">
        <v>127</v>
      </c>
      <c r="Q146" s="5" t="s">
        <v>127</v>
      </c>
    </row>
    <row r="147" spans="1:18" x14ac:dyDescent="0.25">
      <c r="A147" s="2" t="str">
        <f>"PAED"&amp;TEXT(Table61[[#This Row],[Count]],"000")&amp;"."&amp;IF(Table61[[#This Row],[Category]]="Essential","E",IF(Table61[[#This Row],[Category]]="Discretionary","D","O"))</f>
        <v>PAED091.E</v>
      </c>
      <c r="B147" s="2">
        <f>MAX(Table60[Count])+ROWS(INDEX(Table61[Count],1):Table61[[#This Row],[Count]])</f>
        <v>91</v>
      </c>
      <c r="C147" s="5" t="s">
        <v>76</v>
      </c>
      <c r="D147" s="5" t="s">
        <v>1390</v>
      </c>
      <c r="E147" s="16" t="s">
        <v>13</v>
      </c>
      <c r="M147" s="2" t="s">
        <v>127</v>
      </c>
      <c r="N147" s="2" t="s">
        <v>127</v>
      </c>
      <c r="O147" s="2" t="s">
        <v>127</v>
      </c>
      <c r="P147" s="2" t="s">
        <v>127</v>
      </c>
      <c r="Q147" s="5" t="s">
        <v>127</v>
      </c>
    </row>
    <row r="148" spans="1:18" x14ac:dyDescent="0.25">
      <c r="A148" s="2" t="str">
        <f>"PAED"&amp;TEXT(Table61[[#This Row],[Count]],"000")&amp;"."&amp;IF(Table61[[#This Row],[Category]]="Essential","E",IF(Table61[[#This Row],[Category]]="Discretionary","D","O"))</f>
        <v>PAED092.E</v>
      </c>
      <c r="B148" s="2">
        <f>MAX(Table60[Count])+ROWS(INDEX(Table61[Count],1):Table61[[#This Row],[Count]])</f>
        <v>92</v>
      </c>
      <c r="C148" s="5" t="s">
        <v>76</v>
      </c>
      <c r="D148" s="5" t="s">
        <v>1391</v>
      </c>
      <c r="E148" s="16" t="s">
        <v>13</v>
      </c>
      <c r="N148" s="2" t="s">
        <v>127</v>
      </c>
      <c r="O148" s="2" t="s">
        <v>127</v>
      </c>
      <c r="P148" s="2" t="s">
        <v>127</v>
      </c>
      <c r="Q148" s="5" t="s">
        <v>127</v>
      </c>
    </row>
    <row r="149" spans="1:18" x14ac:dyDescent="0.25">
      <c r="A149" s="2" t="str">
        <f>"PAED"&amp;TEXT(Table61[[#This Row],[Count]],"000")&amp;"."&amp;IF(Table61[[#This Row],[Category]]="Essential","E",IF(Table61[[#This Row],[Category]]="Discretionary","D","O"))</f>
        <v>PAED093.E</v>
      </c>
      <c r="B149" s="2">
        <f>MAX(Table60[Count])+ROWS(INDEX(Table61[Count],1):Table61[[#This Row],[Count]])</f>
        <v>93</v>
      </c>
      <c r="C149" s="5" t="s">
        <v>76</v>
      </c>
      <c r="D149" s="5" t="s">
        <v>1417</v>
      </c>
      <c r="E149" s="16" t="s">
        <v>13</v>
      </c>
      <c r="N149" s="2" t="s">
        <v>127</v>
      </c>
      <c r="O149" s="2" t="s">
        <v>127</v>
      </c>
      <c r="P149" s="2" t="s">
        <v>127</v>
      </c>
      <c r="Q149" s="5" t="s">
        <v>127</v>
      </c>
    </row>
    <row r="150" spans="1:18" ht="30" x14ac:dyDescent="0.25">
      <c r="A150" s="2" t="str">
        <f>"PAED"&amp;TEXT(Table61[[#This Row],[Count]],"000")&amp;"."&amp;IF(Table61[[#This Row],[Category]]="Essential","E",IF(Table61[[#This Row],[Category]]="Discretionary","D","O"))</f>
        <v>PAED094.E</v>
      </c>
      <c r="B150" s="2">
        <f>MAX(Table60[Count])+ROWS(INDEX(Table61[Count],1):Table61[[#This Row],[Count]])</f>
        <v>94</v>
      </c>
      <c r="C150" s="5" t="s">
        <v>76</v>
      </c>
      <c r="D150" s="5" t="s">
        <v>1418</v>
      </c>
      <c r="E150" s="16" t="s">
        <v>13</v>
      </c>
      <c r="L150" s="2" t="s">
        <v>127</v>
      </c>
      <c r="M150" s="2" t="s">
        <v>127</v>
      </c>
      <c r="N150" s="2" t="s">
        <v>127</v>
      </c>
      <c r="O150" s="2" t="s">
        <v>127</v>
      </c>
      <c r="P150" s="2" t="s">
        <v>127</v>
      </c>
      <c r="Q150" s="5" t="s">
        <v>127</v>
      </c>
    </row>
    <row r="152" spans="1:18" x14ac:dyDescent="0.25">
      <c r="A152" s="58" t="s">
        <v>79</v>
      </c>
      <c r="B152" s="58"/>
      <c r="C152" s="58"/>
      <c r="D152" s="58"/>
      <c r="E152" s="58"/>
      <c r="F152" s="58"/>
      <c r="G152" s="58"/>
      <c r="H152" s="58"/>
      <c r="I152" s="58"/>
      <c r="J152" s="58"/>
      <c r="K152" s="58"/>
      <c r="L152" s="58"/>
      <c r="M152" s="58"/>
      <c r="N152" s="58"/>
      <c r="O152" s="58"/>
      <c r="P152" s="58"/>
      <c r="Q152" s="58"/>
      <c r="R152" s="58"/>
    </row>
    <row r="154" spans="1:18" x14ac:dyDescent="0.25">
      <c r="A154" s="6" t="s">
        <v>120</v>
      </c>
      <c r="B154" s="6" t="s">
        <v>121</v>
      </c>
      <c r="C154" s="7" t="s">
        <v>122</v>
      </c>
      <c r="D154" s="7" t="s">
        <v>123</v>
      </c>
      <c r="E154" s="6" t="s">
        <v>8</v>
      </c>
      <c r="F154" s="6" t="s">
        <v>124</v>
      </c>
      <c r="G154" s="6" t="s">
        <v>154</v>
      </c>
      <c r="H154" s="6" t="s">
        <v>155</v>
      </c>
      <c r="I154" s="6" t="s">
        <v>156</v>
      </c>
      <c r="J154" s="6" t="s">
        <v>157</v>
      </c>
      <c r="K154" s="6" t="s">
        <v>158</v>
      </c>
      <c r="L154" s="6" t="s">
        <v>159</v>
      </c>
      <c r="M154" s="6" t="s">
        <v>160</v>
      </c>
      <c r="N154" s="6" t="s">
        <v>161</v>
      </c>
      <c r="O154" s="6" t="s">
        <v>162</v>
      </c>
      <c r="P154" s="6" t="s">
        <v>163</v>
      </c>
      <c r="Q154" s="7" t="s">
        <v>164</v>
      </c>
      <c r="R154" s="7" t="s">
        <v>125</v>
      </c>
    </row>
    <row r="155" spans="1:18" ht="30" x14ac:dyDescent="0.25">
      <c r="A155" s="2" t="str">
        <f>"PAED"&amp;TEXT(Table62[[#This Row],[Count]],"000")&amp;"."&amp;IF(Table62[[#This Row],[Category]]="Essential","E",IF(Table62[[#This Row],[Category]]="Discretionary","D","O"))</f>
        <v>PAED095.E</v>
      </c>
      <c r="B155" s="2">
        <f>MAX(Table61[Count])+ROWS(INDEX(Table62[Count],1):Table62[[#This Row],[Count]])</f>
        <v>95</v>
      </c>
      <c r="C155" s="5" t="s">
        <v>79</v>
      </c>
      <c r="D155" s="5" t="s">
        <v>1419</v>
      </c>
      <c r="E155" s="2" t="s">
        <v>13</v>
      </c>
      <c r="O155" s="2" t="s">
        <v>127</v>
      </c>
      <c r="P155" s="2" t="s">
        <v>127</v>
      </c>
      <c r="Q155" s="5" t="s">
        <v>127</v>
      </c>
    </row>
    <row r="156" spans="1:18" ht="30" x14ac:dyDescent="0.25">
      <c r="A156" s="2" t="str">
        <f>"PAED"&amp;TEXT(Table62[[#This Row],[Count]],"000")&amp;"."&amp;IF(Table62[[#This Row],[Category]]="Essential","E",IF(Table62[[#This Row],[Category]]="Discretionary","D","O"))</f>
        <v>PAED096.O</v>
      </c>
      <c r="B156" s="2">
        <f>MAX(Table61[Count])+ROWS(INDEX(Table62[Count],1):Table62[[#This Row],[Count]])</f>
        <v>96</v>
      </c>
      <c r="C156" s="5" t="s">
        <v>79</v>
      </c>
      <c r="D156" s="5" t="s">
        <v>1420</v>
      </c>
      <c r="E156" s="2" t="s">
        <v>23</v>
      </c>
      <c r="O156" s="2" t="s">
        <v>127</v>
      </c>
      <c r="P156" s="2" t="s">
        <v>127</v>
      </c>
      <c r="Q156" s="5" t="s">
        <v>127</v>
      </c>
      <c r="R156" s="5" t="s">
        <v>1237</v>
      </c>
    </row>
    <row r="157" spans="1:18" ht="30" x14ac:dyDescent="0.25">
      <c r="A157" s="2" t="str">
        <f>"PAED"&amp;TEXT(Table62[[#This Row],[Count]],"000")&amp;"."&amp;IF(Table62[[#This Row],[Category]]="Essential","E",IF(Table62[[#This Row],[Category]]="Discretionary","D","O"))</f>
        <v>PAED097.O</v>
      </c>
      <c r="B157" s="2">
        <f>MAX(Table61[Count])+ROWS(INDEX(Table62[Count],1):Table62[[#This Row],[Count]])</f>
        <v>97</v>
      </c>
      <c r="C157" s="5" t="s">
        <v>79</v>
      </c>
      <c r="D157" s="5" t="s">
        <v>1421</v>
      </c>
      <c r="E157" s="2" t="s">
        <v>23</v>
      </c>
      <c r="O157" s="2" t="s">
        <v>127</v>
      </c>
      <c r="P157" s="2" t="s">
        <v>127</v>
      </c>
      <c r="Q157" s="5" t="s">
        <v>127</v>
      </c>
      <c r="R157" s="5" t="s">
        <v>1237</v>
      </c>
    </row>
    <row r="159" spans="1:18" x14ac:dyDescent="0.25">
      <c r="A159" s="58" t="s">
        <v>82</v>
      </c>
      <c r="B159" s="58"/>
      <c r="C159" s="58"/>
      <c r="D159" s="58"/>
      <c r="E159" s="58"/>
      <c r="F159" s="58"/>
      <c r="G159" s="58"/>
      <c r="H159" s="58"/>
      <c r="I159" s="58"/>
      <c r="J159" s="58"/>
      <c r="K159" s="58"/>
      <c r="L159" s="58"/>
      <c r="M159" s="58"/>
      <c r="N159" s="58"/>
      <c r="O159" s="58"/>
      <c r="P159" s="58"/>
      <c r="Q159" s="58"/>
      <c r="R159" s="58"/>
    </row>
    <row r="161" spans="1:18" x14ac:dyDescent="0.25">
      <c r="A161" s="6" t="s">
        <v>120</v>
      </c>
      <c r="B161" s="6" t="s">
        <v>121</v>
      </c>
      <c r="C161" s="7" t="s">
        <v>122</v>
      </c>
      <c r="D161" s="7" t="s">
        <v>123</v>
      </c>
      <c r="E161" s="6" t="s">
        <v>8</v>
      </c>
      <c r="F161" s="6" t="s">
        <v>124</v>
      </c>
      <c r="G161" s="6" t="s">
        <v>154</v>
      </c>
      <c r="H161" s="6" t="s">
        <v>155</v>
      </c>
      <c r="I161" s="6" t="s">
        <v>156</v>
      </c>
      <c r="J161" s="6" t="s">
        <v>157</v>
      </c>
      <c r="K161" s="6" t="s">
        <v>158</v>
      </c>
      <c r="L161" s="6" t="s">
        <v>159</v>
      </c>
      <c r="M161" s="6" t="s">
        <v>160</v>
      </c>
      <c r="N161" s="6" t="s">
        <v>161</v>
      </c>
      <c r="O161" s="6" t="s">
        <v>162</v>
      </c>
      <c r="P161" s="6" t="s">
        <v>163</v>
      </c>
      <c r="Q161" s="7" t="s">
        <v>164</v>
      </c>
      <c r="R161" s="7" t="s">
        <v>125</v>
      </c>
    </row>
    <row r="162" spans="1:18" ht="30" x14ac:dyDescent="0.25">
      <c r="A162" s="2" t="str">
        <f>"PAED"&amp;TEXT(Table63[[#This Row],[Count]],"000")&amp;"."&amp;IF(Table63[[#This Row],[Category]]="Essential","E",IF(Table63[[#This Row],[Category]]="Discretionary","D","O"))</f>
        <v>PAED098.E</v>
      </c>
      <c r="B162" s="2">
        <f>MAX(Table62[Count])+ROWS(INDEX(Table63[Count],1):Table63[[#This Row],[Count]])</f>
        <v>98</v>
      </c>
      <c r="C162" s="5" t="s">
        <v>82</v>
      </c>
      <c r="D162" s="5" t="s">
        <v>1422</v>
      </c>
      <c r="E162" s="16" t="s">
        <v>13</v>
      </c>
      <c r="N162" s="2" t="s">
        <v>127</v>
      </c>
      <c r="O162" s="2" t="s">
        <v>127</v>
      </c>
      <c r="P162" s="2" t="s">
        <v>127</v>
      </c>
      <c r="Q162" s="5" t="s">
        <v>127</v>
      </c>
    </row>
    <row r="163" spans="1:18" ht="30" x14ac:dyDescent="0.25">
      <c r="A163" s="2" t="str">
        <f>"PAED"&amp;TEXT(Table63[[#This Row],[Count]],"000")&amp;"."&amp;IF(Table63[[#This Row],[Category]]="Essential","E",IF(Table63[[#This Row],[Category]]="Discretionary","D","O"))</f>
        <v>PAED099.E</v>
      </c>
      <c r="B163" s="2">
        <f>MAX(Table62[Count])+ROWS(INDEX(Table63[Count],1):Table63[[#This Row],[Count]])</f>
        <v>99</v>
      </c>
      <c r="C163" s="5" t="s">
        <v>82</v>
      </c>
      <c r="D163" s="5" t="s">
        <v>1423</v>
      </c>
      <c r="E163" s="16" t="s">
        <v>13</v>
      </c>
      <c r="N163" s="2" t="s">
        <v>127</v>
      </c>
      <c r="O163" s="2" t="s">
        <v>127</v>
      </c>
      <c r="P163" s="2" t="s">
        <v>127</v>
      </c>
      <c r="Q163" s="5" t="s">
        <v>127</v>
      </c>
      <c r="R163" s="5" t="s">
        <v>1424</v>
      </c>
    </row>
    <row r="164" spans="1:18" ht="52.5" customHeight="1" x14ac:dyDescent="0.25">
      <c r="A164" s="2" t="str">
        <f>"PAED"&amp;TEXT(Table63[[#This Row],[Count]],"000")&amp;"."&amp;IF(Table63[[#This Row],[Category]]="Essential","E",IF(Table63[[#This Row],[Category]]="Discretionary","D","O"))</f>
        <v>PAED100.E</v>
      </c>
      <c r="B164" s="2">
        <f>MAX(Table62[Count])+ROWS(INDEX(Table63[Count],1):Table63[[#This Row],[Count]])</f>
        <v>100</v>
      </c>
      <c r="C164" s="5" t="s">
        <v>82</v>
      </c>
      <c r="D164" s="5" t="s">
        <v>1425</v>
      </c>
      <c r="E164" s="16" t="s">
        <v>13</v>
      </c>
      <c r="N164" s="2" t="s">
        <v>127</v>
      </c>
      <c r="O164" s="2" t="s">
        <v>127</v>
      </c>
      <c r="P164" s="2" t="s">
        <v>127</v>
      </c>
      <c r="Q164" s="5" t="s">
        <v>127</v>
      </c>
    </row>
    <row r="165" spans="1:18" ht="30" x14ac:dyDescent="0.25">
      <c r="A165" s="2" t="str">
        <f>"PAED"&amp;TEXT(Table63[[#This Row],[Count]],"000")&amp;"."&amp;IF(Table63[[#This Row],[Category]]="Essential","E",IF(Table63[[#This Row],[Category]]="Discretionary","D","O"))</f>
        <v>PAED101.E</v>
      </c>
      <c r="B165" s="2">
        <f>MAX(Table62[Count])+ROWS(INDEX(Table63[Count],1):Table63[[#This Row],[Count]])</f>
        <v>101</v>
      </c>
      <c r="C165" s="5" t="s">
        <v>82</v>
      </c>
      <c r="D165" s="5" t="s">
        <v>1426</v>
      </c>
      <c r="E165" s="56" t="s">
        <v>13</v>
      </c>
      <c r="N165" s="2" t="s">
        <v>127</v>
      </c>
      <c r="O165" s="2" t="s">
        <v>127</v>
      </c>
      <c r="P165" s="2" t="s">
        <v>127</v>
      </c>
      <c r="Q165" s="5" t="s">
        <v>127</v>
      </c>
      <c r="R165" s="5" t="s">
        <v>1427</v>
      </c>
    </row>
    <row r="166" spans="1:18" x14ac:dyDescent="0.25">
      <c r="A166" s="58" t="s">
        <v>84</v>
      </c>
      <c r="B166" s="58"/>
      <c r="C166" s="58"/>
      <c r="D166" s="58"/>
      <c r="E166" s="58"/>
      <c r="F166" s="58"/>
      <c r="G166" s="58"/>
      <c r="H166" s="58"/>
      <c r="I166" s="58"/>
      <c r="J166" s="58"/>
      <c r="K166" s="58"/>
      <c r="L166" s="58"/>
      <c r="M166" s="58"/>
      <c r="N166" s="58"/>
      <c r="O166" s="58"/>
      <c r="P166" s="58"/>
      <c r="Q166" s="58"/>
      <c r="R166" s="58"/>
    </row>
    <row r="168" spans="1:18" x14ac:dyDescent="0.25">
      <c r="A168" s="6" t="s">
        <v>120</v>
      </c>
      <c r="B168" s="6" t="s">
        <v>121</v>
      </c>
      <c r="C168" s="7" t="s">
        <v>122</v>
      </c>
      <c r="D168" s="7" t="s">
        <v>123</v>
      </c>
      <c r="E168" s="6" t="s">
        <v>8</v>
      </c>
      <c r="F168" s="6" t="s">
        <v>124</v>
      </c>
      <c r="G168" s="6" t="s">
        <v>154</v>
      </c>
      <c r="H168" s="6" t="s">
        <v>155</v>
      </c>
      <c r="I168" s="6" t="s">
        <v>156</v>
      </c>
      <c r="J168" s="6" t="s">
        <v>157</v>
      </c>
      <c r="K168" s="6" t="s">
        <v>158</v>
      </c>
      <c r="L168" s="6" t="s">
        <v>159</v>
      </c>
      <c r="M168" s="6" t="s">
        <v>160</v>
      </c>
      <c r="N168" s="6" t="s">
        <v>161</v>
      </c>
      <c r="O168" s="6" t="s">
        <v>162</v>
      </c>
      <c r="P168" s="6" t="s">
        <v>163</v>
      </c>
      <c r="Q168" s="7" t="s">
        <v>164</v>
      </c>
      <c r="R168" s="7" t="s">
        <v>125</v>
      </c>
    </row>
    <row r="169" spans="1:18" ht="30.75" customHeight="1" x14ac:dyDescent="0.25">
      <c r="A169" s="2" t="str">
        <f>"PAED"&amp;TEXT(Table64[[#This Row],[Count]],"000")&amp;"."&amp;IF(Table64[[#This Row],[Category]]="Essential","E",IF(Table64[[#This Row],[Category]]="Discretionary","D","O"))</f>
        <v>PAED102.E</v>
      </c>
      <c r="B169" s="2">
        <f>MAX(Table63[Count])+ROWS(INDEX(Table64[Count],1):Table64[[#This Row],[Count]])</f>
        <v>102</v>
      </c>
      <c r="C169" s="5" t="s">
        <v>84</v>
      </c>
      <c r="D169" s="5" t="s">
        <v>1428</v>
      </c>
      <c r="E169" s="16" t="s">
        <v>13</v>
      </c>
      <c r="M169" s="2" t="s">
        <v>127</v>
      </c>
      <c r="N169" s="2" t="s">
        <v>127</v>
      </c>
      <c r="O169" s="2" t="s">
        <v>127</v>
      </c>
      <c r="P169" s="2" t="s">
        <v>127</v>
      </c>
      <c r="Q169" s="5" t="s">
        <v>127</v>
      </c>
    </row>
    <row r="170" spans="1:18" x14ac:dyDescent="0.25">
      <c r="A170" s="2" t="str">
        <f>"PAED"&amp;TEXT(Table64[[#This Row],[Count]],"000")&amp;"."&amp;IF(Table64[[#This Row],[Category]]="Essential","E",IF(Table64[[#This Row],[Category]]="Discretionary","D","O"))</f>
        <v>PAED103.E</v>
      </c>
      <c r="B170" s="2">
        <f>MAX(Table63[Count])+ROWS(INDEX(Table64[Count],1):Table64[[#This Row],[Count]])</f>
        <v>103</v>
      </c>
      <c r="C170" s="5" t="s">
        <v>84</v>
      </c>
      <c r="D170" s="5" t="s">
        <v>1429</v>
      </c>
      <c r="E170" s="16" t="s">
        <v>13</v>
      </c>
      <c r="M170" s="2" t="s">
        <v>127</v>
      </c>
      <c r="N170" s="2" t="s">
        <v>127</v>
      </c>
      <c r="O170" s="2" t="s">
        <v>127</v>
      </c>
      <c r="P170" s="2" t="s">
        <v>127</v>
      </c>
      <c r="Q170" s="5" t="s">
        <v>127</v>
      </c>
    </row>
    <row r="171" spans="1:18" x14ac:dyDescent="0.25">
      <c r="A171" s="2" t="str">
        <f>"PAED"&amp;TEXT(Table64[[#This Row],[Count]],"000")&amp;"."&amp;IF(Table64[[#This Row],[Category]]="Essential","E",IF(Table64[[#This Row],[Category]]="Discretionary","D","O"))</f>
        <v>PAED104.E</v>
      </c>
      <c r="B171" s="2">
        <f>MAX(Table63[Count])+ROWS(INDEX(Table64[Count],1):Table64[[#This Row],[Count]])</f>
        <v>104</v>
      </c>
      <c r="C171" s="5" t="s">
        <v>84</v>
      </c>
      <c r="D171" s="5" t="s">
        <v>1430</v>
      </c>
      <c r="E171" s="16" t="s">
        <v>13</v>
      </c>
      <c r="M171" s="2" t="s">
        <v>127</v>
      </c>
      <c r="N171" s="2" t="s">
        <v>127</v>
      </c>
      <c r="O171" s="2" t="s">
        <v>127</v>
      </c>
      <c r="P171" s="2" t="s">
        <v>127</v>
      </c>
      <c r="Q171" s="5" t="s">
        <v>127</v>
      </c>
    </row>
    <row r="173" spans="1:18" x14ac:dyDescent="0.25">
      <c r="A173" s="58" t="s">
        <v>37</v>
      </c>
      <c r="B173" s="58"/>
      <c r="C173" s="58"/>
      <c r="D173" s="58"/>
      <c r="E173" s="58"/>
      <c r="F173" s="58"/>
      <c r="G173" s="58"/>
      <c r="H173" s="58"/>
      <c r="I173" s="58"/>
      <c r="J173" s="58"/>
      <c r="K173" s="58"/>
      <c r="L173" s="58"/>
      <c r="M173" s="58"/>
      <c r="N173" s="58"/>
      <c r="O173" s="58"/>
      <c r="P173" s="58"/>
      <c r="Q173" s="58"/>
      <c r="R173" s="58"/>
    </row>
    <row r="175" spans="1:18" x14ac:dyDescent="0.25">
      <c r="A175" s="6" t="s">
        <v>120</v>
      </c>
      <c r="B175" s="6" t="s">
        <v>121</v>
      </c>
      <c r="C175" s="7" t="s">
        <v>122</v>
      </c>
      <c r="D175" s="7" t="s">
        <v>123</v>
      </c>
      <c r="E175" s="6" t="s">
        <v>8</v>
      </c>
      <c r="F175" s="6" t="s">
        <v>124</v>
      </c>
      <c r="G175" s="6" t="s">
        <v>154</v>
      </c>
      <c r="H175" s="6" t="s">
        <v>155</v>
      </c>
      <c r="I175" s="6" t="s">
        <v>156</v>
      </c>
      <c r="J175" s="6" t="s">
        <v>157</v>
      </c>
      <c r="K175" s="6" t="s">
        <v>158</v>
      </c>
      <c r="L175" s="6" t="s">
        <v>159</v>
      </c>
      <c r="M175" s="6" t="s">
        <v>160</v>
      </c>
      <c r="N175" s="6" t="s">
        <v>161</v>
      </c>
      <c r="O175" s="6" t="s">
        <v>162</v>
      </c>
      <c r="P175" s="6" t="s">
        <v>163</v>
      </c>
      <c r="Q175" s="7" t="s">
        <v>164</v>
      </c>
      <c r="R175" s="7" t="s">
        <v>125</v>
      </c>
    </row>
    <row r="176" spans="1:18" x14ac:dyDescent="0.25">
      <c r="A176" s="2" t="str">
        <f>"PAED"&amp;TEXT(Table65[[#This Row],[Count]],"000")&amp;"."&amp;IF(Table65[[#This Row],[Category]]="Essential","E",IF(Table65[[#This Row],[Category]]="Discretionary","D","O"))</f>
        <v>PAED105.D</v>
      </c>
      <c r="B176" s="2">
        <f>MAX(Table64[Count])+ROWS(INDEX(Table65[Count],1):Table65[[#This Row],[Count]])</f>
        <v>105</v>
      </c>
      <c r="C176" s="5" t="s">
        <v>37</v>
      </c>
      <c r="D176" s="5" t="s">
        <v>1431</v>
      </c>
      <c r="E176" s="18" t="s">
        <v>18</v>
      </c>
      <c r="L176" s="2" t="s">
        <v>127</v>
      </c>
      <c r="M176" s="2" t="s">
        <v>127</v>
      </c>
      <c r="N176" s="2" t="s">
        <v>127</v>
      </c>
      <c r="O176" s="2" t="s">
        <v>127</v>
      </c>
      <c r="P176" s="2" t="s">
        <v>127</v>
      </c>
      <c r="Q176" s="5" t="s">
        <v>127</v>
      </c>
    </row>
    <row r="177" spans="1:18" x14ac:dyDescent="0.25">
      <c r="A177" s="2" t="str">
        <f>"PAED"&amp;TEXT(Table65[[#This Row],[Count]],"000")&amp;"."&amp;IF(Table65[[#This Row],[Category]]="Essential","E",IF(Table65[[#This Row],[Category]]="Discretionary","D","O"))</f>
        <v>PAED106.D</v>
      </c>
      <c r="B177" s="2">
        <f>MAX(Table64[Count])+ROWS(INDEX(Table65[Count],1):Table65[[#This Row],[Count]])</f>
        <v>106</v>
      </c>
      <c r="C177" s="5" t="s">
        <v>37</v>
      </c>
      <c r="D177" s="5" t="s">
        <v>1346</v>
      </c>
      <c r="E177" s="18" t="s">
        <v>18</v>
      </c>
      <c r="L177" s="2" t="s">
        <v>127</v>
      </c>
      <c r="M177" s="2" t="s">
        <v>127</v>
      </c>
      <c r="N177" s="2" t="s">
        <v>127</v>
      </c>
      <c r="O177" s="2" t="s">
        <v>127</v>
      </c>
      <c r="P177" s="2" t="s">
        <v>127</v>
      </c>
      <c r="Q177" s="5" t="s">
        <v>127</v>
      </c>
    </row>
    <row r="178" spans="1:18" x14ac:dyDescent="0.25">
      <c r="A178" s="2" t="str">
        <f>"PAED"&amp;TEXT(Table65[[#This Row],[Count]],"000")&amp;"."&amp;IF(Table65[[#This Row],[Category]]="Essential","E",IF(Table65[[#This Row],[Category]]="Discretionary","D","O"))</f>
        <v>PAED107.D</v>
      </c>
      <c r="B178" s="2">
        <f>MAX(Table64[Count])+ROWS(INDEX(Table65[Count],1):Table65[[#This Row],[Count]])</f>
        <v>107</v>
      </c>
      <c r="C178" s="5" t="s">
        <v>37</v>
      </c>
      <c r="D178" s="5" t="s">
        <v>1432</v>
      </c>
      <c r="E178" s="18" t="s">
        <v>18</v>
      </c>
      <c r="N178" s="2" t="s">
        <v>127</v>
      </c>
      <c r="O178" s="2" t="s">
        <v>127</v>
      </c>
      <c r="P178" s="2" t="s">
        <v>127</v>
      </c>
      <c r="Q178" s="5" t="s">
        <v>127</v>
      </c>
      <c r="R178" s="5" t="s">
        <v>1433</v>
      </c>
    </row>
    <row r="179" spans="1:18" ht="30" x14ac:dyDescent="0.25">
      <c r="A179" s="2" t="str">
        <f>"PAED"&amp;TEXT(Table65[[#This Row],[Count]],"000")&amp;"."&amp;IF(Table65[[#This Row],[Category]]="Essential","E",IF(Table65[[#This Row],[Category]]="Discretionary","D","O"))</f>
        <v>PAED108.D</v>
      </c>
      <c r="B179" s="2">
        <f>MAX(Table64[Count])+ROWS(INDEX(Table65[Count],1):Table65[[#This Row],[Count]])</f>
        <v>108</v>
      </c>
      <c r="C179" s="5" t="s">
        <v>37</v>
      </c>
      <c r="D179" s="5" t="s">
        <v>1434</v>
      </c>
      <c r="E179" s="18" t="s">
        <v>18</v>
      </c>
      <c r="F179" s="2" t="s">
        <v>127</v>
      </c>
      <c r="Q179" s="2"/>
    </row>
    <row r="180" spans="1:18" ht="30" x14ac:dyDescent="0.25">
      <c r="A180" s="2" t="str">
        <f>"PAED"&amp;TEXT(Table65[[#This Row],[Count]],"000")&amp;"."&amp;IF(Table65[[#This Row],[Category]]="Essential","E",IF(Table65[[#This Row],[Category]]="Discretionary","D","O"))</f>
        <v>PAED109.E</v>
      </c>
      <c r="B180" s="2">
        <f>MAX(Table64[Count])+ROWS(INDEX(Table65[Count],1):Table65[[#This Row],[Count]])</f>
        <v>109</v>
      </c>
      <c r="C180" s="5" t="s">
        <v>37</v>
      </c>
      <c r="D180" s="5" t="s">
        <v>1435</v>
      </c>
      <c r="E180" s="16" t="s">
        <v>13</v>
      </c>
      <c r="F180" s="2" t="s">
        <v>127</v>
      </c>
      <c r="Q180" s="2"/>
      <c r="R180" s="5" t="s">
        <v>1436</v>
      </c>
    </row>
    <row r="181" spans="1:18" ht="30" x14ac:dyDescent="0.25">
      <c r="A181" s="2" t="str">
        <f>"PAED"&amp;TEXT(Table65[[#This Row],[Count]],"000")&amp;"."&amp;IF(Table65[[#This Row],[Category]]="Essential","E",IF(Table65[[#This Row],[Category]]="Discretionary","D","O"))</f>
        <v>PAED110.D</v>
      </c>
      <c r="B181" s="2">
        <f>MAX(Table64[Count])+ROWS(INDEX(Table65[Count],1):Table65[[#This Row],[Count]])</f>
        <v>110</v>
      </c>
      <c r="C181" s="5" t="s">
        <v>37</v>
      </c>
      <c r="D181" s="5" t="s">
        <v>1437</v>
      </c>
      <c r="E181" s="18" t="s">
        <v>18</v>
      </c>
      <c r="N181" s="2" t="s">
        <v>127</v>
      </c>
      <c r="O181" s="2" t="s">
        <v>127</v>
      </c>
      <c r="P181" s="2" t="s">
        <v>127</v>
      </c>
      <c r="Q181" s="5" t="s">
        <v>127</v>
      </c>
      <c r="R181" s="5" t="s">
        <v>1438</v>
      </c>
    </row>
    <row r="182" spans="1:18" ht="75" x14ac:dyDescent="0.25">
      <c r="A182" s="2" t="str">
        <f>"PAED"&amp;TEXT(Table65[[#This Row],[Count]],"000")&amp;"."&amp;IF(Table65[[#This Row],[Category]]="Essential","E",IF(Table65[[#This Row],[Category]]="Discretionary","D","O"))</f>
        <v>PAED111.E</v>
      </c>
      <c r="B182" s="2">
        <f>MAX(Table64[Count])+ROWS(INDEX(Table65[Count],1):Table65[[#This Row],[Count]])</f>
        <v>111</v>
      </c>
      <c r="C182" s="5" t="s">
        <v>37</v>
      </c>
      <c r="D182" s="5" t="s">
        <v>1439</v>
      </c>
      <c r="E182" s="16" t="s">
        <v>13</v>
      </c>
      <c r="F182" s="2" t="s">
        <v>127</v>
      </c>
      <c r="R182" s="5" t="s">
        <v>1440</v>
      </c>
    </row>
    <row r="183" spans="1:18" ht="30" x14ac:dyDescent="0.25">
      <c r="A183" s="2" t="str">
        <f>"PAED"&amp;TEXT(Table65[[#This Row],[Count]],"000")&amp;"."&amp;IF(Table65[[#This Row],[Category]]="Essential","E",IF(Table65[[#This Row],[Category]]="Discretionary","D","O"))</f>
        <v>PAED112.E</v>
      </c>
      <c r="B183" s="2">
        <f>MAX(Table64[Count])+ROWS(INDEX(Table65[Count],1):Table65[[#This Row],[Count]])</f>
        <v>112</v>
      </c>
      <c r="C183" s="5" t="s">
        <v>37</v>
      </c>
      <c r="D183" s="5" t="s">
        <v>1441</v>
      </c>
      <c r="E183" s="16" t="s">
        <v>13</v>
      </c>
      <c r="N183" s="2" t="s">
        <v>127</v>
      </c>
      <c r="O183" s="2" t="s">
        <v>127</v>
      </c>
      <c r="P183" s="2" t="s">
        <v>127</v>
      </c>
      <c r="Q183" s="5" t="s">
        <v>127</v>
      </c>
      <c r="R183" s="5" t="s">
        <v>1442</v>
      </c>
    </row>
    <row r="184" spans="1:18" x14ac:dyDescent="0.25">
      <c r="A184" s="2" t="str">
        <f>"PAED"&amp;TEXT(Table65[[#This Row],[Count]],"000")&amp;"."&amp;IF(Table65[[#This Row],[Category]]="Essential","E",IF(Table65[[#This Row],[Category]]="Discretionary","D","O"))</f>
        <v>PAED113.D</v>
      </c>
      <c r="B184" s="2">
        <f>MAX(Table64[Count])+ROWS(INDEX(Table65[Count],1):Table65[[#This Row],[Count]])</f>
        <v>113</v>
      </c>
      <c r="C184" s="5" t="s">
        <v>37</v>
      </c>
      <c r="D184" s="5" t="s">
        <v>1443</v>
      </c>
      <c r="E184" s="18" t="s">
        <v>18</v>
      </c>
      <c r="L184" s="2" t="s">
        <v>127</v>
      </c>
      <c r="M184" s="2" t="s">
        <v>127</v>
      </c>
      <c r="N184" s="2" t="s">
        <v>127</v>
      </c>
      <c r="O184" s="2" t="s">
        <v>127</v>
      </c>
      <c r="P184" s="2" t="s">
        <v>127</v>
      </c>
      <c r="Q184" s="5" t="s">
        <v>127</v>
      </c>
      <c r="R184" s="5" t="s">
        <v>1444</v>
      </c>
    </row>
    <row r="185" spans="1:18" ht="30" x14ac:dyDescent="0.25">
      <c r="A185" s="2" t="str">
        <f>"PAED"&amp;TEXT(Table65[[#This Row],[Count]],"000")&amp;"."&amp;IF(Table65[[#This Row],[Category]]="Essential","E",IF(Table65[[#This Row],[Category]]="Discretionary","D","O"))</f>
        <v>PAED114.E</v>
      </c>
      <c r="B185" s="2">
        <f>MAX(Table64[Count])+ROWS(INDEX(Table65[Count],1):Table65[[#This Row],[Count]])</f>
        <v>114</v>
      </c>
      <c r="C185" s="5" t="s">
        <v>37</v>
      </c>
      <c r="D185" s="5" t="s">
        <v>1445</v>
      </c>
      <c r="E185" s="16" t="s">
        <v>13</v>
      </c>
      <c r="L185" s="2" t="s">
        <v>127</v>
      </c>
      <c r="M185" s="2" t="s">
        <v>127</v>
      </c>
      <c r="N185" s="2" t="s">
        <v>127</v>
      </c>
      <c r="O185" s="2" t="s">
        <v>127</v>
      </c>
      <c r="P185" s="2" t="s">
        <v>127</v>
      </c>
      <c r="Q185" s="5" t="s">
        <v>127</v>
      </c>
      <c r="R185" s="5" t="s">
        <v>1446</v>
      </c>
    </row>
    <row r="186" spans="1:18" ht="30" x14ac:dyDescent="0.25">
      <c r="A186" s="2" t="str">
        <f>"PAED"&amp;TEXT(Table65[[#This Row],[Count]],"000")&amp;"."&amp;IF(Table65[[#This Row],[Category]]="Essential","E",IF(Table65[[#This Row],[Category]]="Discretionary","D","O"))</f>
        <v>PAED115.E</v>
      </c>
      <c r="B186" s="2">
        <f>MAX(Table64[Count])+ROWS(INDEX(Table65[Count],1):Table65[[#This Row],[Count]])</f>
        <v>115</v>
      </c>
      <c r="C186" s="5" t="s">
        <v>37</v>
      </c>
      <c r="D186" s="5" t="s">
        <v>1447</v>
      </c>
      <c r="E186" s="16" t="s">
        <v>13</v>
      </c>
      <c r="F186" s="2" t="s">
        <v>127</v>
      </c>
      <c r="Q186" s="2"/>
    </row>
    <row r="187" spans="1:18" ht="30" x14ac:dyDescent="0.25">
      <c r="A187" s="2" t="str">
        <f>"PAED"&amp;TEXT(Table65[[#This Row],[Count]],"000")&amp;"."&amp;IF(Table65[[#This Row],[Category]]="Essential","E",IF(Table65[[#This Row],[Category]]="Discretionary","D","O"))</f>
        <v>PAED116.D</v>
      </c>
      <c r="B187" s="2">
        <f>MAX(Table64[Count])+ROWS(INDEX(Table65[Count],1):Table65[[#This Row],[Count]])</f>
        <v>116</v>
      </c>
      <c r="C187" s="5" t="s">
        <v>37</v>
      </c>
      <c r="D187" s="5" t="s">
        <v>1448</v>
      </c>
      <c r="E187" s="18" t="s">
        <v>18</v>
      </c>
      <c r="F187" s="2" t="s">
        <v>127</v>
      </c>
    </row>
    <row r="188" spans="1:18" ht="30" x14ac:dyDescent="0.25">
      <c r="A188" s="2" t="str">
        <f>"PAED"&amp;TEXT(Table65[[#This Row],[Count]],"000")&amp;"."&amp;IF(Table65[[#This Row],[Category]]="Essential","E",IF(Table65[[#This Row],[Category]]="Discretionary","D","O"))</f>
        <v>PAED117.D</v>
      </c>
      <c r="B188" s="2">
        <f>MAX(Table64[Count])+ROWS(INDEX(Table65[Count],1):Table65[[#This Row],[Count]])</f>
        <v>117</v>
      </c>
      <c r="C188" s="5" t="s">
        <v>37</v>
      </c>
      <c r="D188" s="5" t="s">
        <v>1449</v>
      </c>
      <c r="E188" s="18" t="s">
        <v>18</v>
      </c>
      <c r="F188" s="2" t="s">
        <v>127</v>
      </c>
      <c r="Q188" s="2"/>
      <c r="R188" s="5" t="s">
        <v>1450</v>
      </c>
    </row>
    <row r="189" spans="1:18" ht="30" x14ac:dyDescent="0.25">
      <c r="A189" s="2" t="str">
        <f>"PAED"&amp;TEXT(Table65[[#This Row],[Count]],"000")&amp;"."&amp;IF(Table65[[#This Row],[Category]]="Essential","E",IF(Table65[[#This Row],[Category]]="Discretionary","D","O"))</f>
        <v>PAED118.E</v>
      </c>
      <c r="B189" s="2">
        <f>MAX(Table64[Count])+ROWS(INDEX(Table65[Count],1):Table65[[#This Row],[Count]])</f>
        <v>118</v>
      </c>
      <c r="C189" s="5" t="s">
        <v>37</v>
      </c>
      <c r="D189" s="5" t="s">
        <v>1451</v>
      </c>
      <c r="E189" s="16" t="s">
        <v>13</v>
      </c>
      <c r="M189" s="2" t="s">
        <v>127</v>
      </c>
      <c r="N189" s="2" t="s">
        <v>127</v>
      </c>
      <c r="O189" s="2" t="s">
        <v>127</v>
      </c>
      <c r="P189" s="2" t="s">
        <v>127</v>
      </c>
      <c r="Q189" s="5" t="s">
        <v>127</v>
      </c>
      <c r="R189" s="5" t="s">
        <v>1452</v>
      </c>
    </row>
    <row r="190" spans="1:18" ht="45" x14ac:dyDescent="0.25">
      <c r="A190" s="2" t="str">
        <f>"PAED"&amp;TEXT(Table65[[#This Row],[Count]],"000")&amp;"."&amp;IF(Table65[[#This Row],[Category]]="Essential","E",IF(Table65[[#This Row],[Category]]="Discretionary","D","O"))</f>
        <v>PAED119.D</v>
      </c>
      <c r="B190" s="2">
        <f>MAX(Table64[Count])+ROWS(INDEX(Table65[Count],1):Table65[[#This Row],[Count]])</f>
        <v>119</v>
      </c>
      <c r="C190" s="5" t="s">
        <v>37</v>
      </c>
      <c r="D190" s="5" t="s">
        <v>1453</v>
      </c>
      <c r="E190" s="18" t="s">
        <v>18</v>
      </c>
      <c r="F190" s="2" t="s">
        <v>127</v>
      </c>
    </row>
    <row r="191" spans="1:18" x14ac:dyDescent="0.25">
      <c r="A191" s="2" t="str">
        <f>"PAED"&amp;TEXT(Table65[[#This Row],[Count]],"000")&amp;"."&amp;IF(Table65[[#This Row],[Category]]="Essential","E",IF(Table65[[#This Row],[Category]]="Discretionary","D","O"))</f>
        <v>PAED120.E</v>
      </c>
      <c r="B191" s="2">
        <f>MAX(Table64[Count])+ROWS(INDEX(Table65[Count],1):Table65[[#This Row],[Count]])</f>
        <v>120</v>
      </c>
      <c r="C191" s="5" t="s">
        <v>37</v>
      </c>
      <c r="D191" s="5" t="s">
        <v>1454</v>
      </c>
      <c r="E191" s="16" t="s">
        <v>13</v>
      </c>
      <c r="F191" s="2" t="s">
        <v>127</v>
      </c>
      <c r="Q191" s="2"/>
    </row>
    <row r="192" spans="1:18" ht="30" x14ac:dyDescent="0.25">
      <c r="A192" s="2" t="str">
        <f>"PAED"&amp;TEXT(Table65[[#This Row],[Count]],"000")&amp;"."&amp;IF(Table65[[#This Row],[Category]]="Essential","E",IF(Table65[[#This Row],[Category]]="Discretionary","D","O"))</f>
        <v>PAED121.E</v>
      </c>
      <c r="B192" s="2">
        <f>MAX(Table64[Count])+ROWS(INDEX(Table65[Count],1):Table65[[#This Row],[Count]])</f>
        <v>121</v>
      </c>
      <c r="C192" s="5" t="s">
        <v>37</v>
      </c>
      <c r="D192" s="5" t="s">
        <v>1455</v>
      </c>
      <c r="E192" s="16" t="s">
        <v>13</v>
      </c>
      <c r="J192" s="2" t="s">
        <v>127</v>
      </c>
      <c r="K192" s="2" t="s">
        <v>127</v>
      </c>
      <c r="R192" s="5" t="s">
        <v>1456</v>
      </c>
    </row>
    <row r="193" spans="1:18" ht="30" x14ac:dyDescent="0.25">
      <c r="A193" s="2" t="str">
        <f>"PAED"&amp;TEXT(Table65[[#This Row],[Count]],"000")&amp;"."&amp;IF(Table65[[#This Row],[Category]]="Essential","E",IF(Table65[[#This Row],[Category]]="Discretionary","D","O"))</f>
        <v>PAED122.E</v>
      </c>
      <c r="B193" s="2">
        <f>MAX(Table64[Count])+ROWS(INDEX(Table65[Count],1):Table65[[#This Row],[Count]])</f>
        <v>122</v>
      </c>
      <c r="C193" s="5" t="s">
        <v>37</v>
      </c>
      <c r="D193" s="5" t="s">
        <v>1457</v>
      </c>
      <c r="E193" s="16" t="s">
        <v>13</v>
      </c>
      <c r="F193" s="2" t="s">
        <v>127</v>
      </c>
      <c r="Q193" s="2"/>
      <c r="R193" s="5" t="s">
        <v>1456</v>
      </c>
    </row>
    <row r="194" spans="1:18" ht="30" x14ac:dyDescent="0.25">
      <c r="A194" s="2" t="str">
        <f>"PAED"&amp;TEXT(Table65[[#This Row],[Count]],"000")&amp;"."&amp;IF(Table65[[#This Row],[Category]]="Essential","E",IF(Table65[[#This Row],[Category]]="Discretionary","D","O"))</f>
        <v>PAED123.D</v>
      </c>
      <c r="B194" s="2">
        <f>MAX(Table64[Count])+ROWS(INDEX(Table65[Count],1):Table65[[#This Row],[Count]])</f>
        <v>123</v>
      </c>
      <c r="C194" s="5" t="s">
        <v>37</v>
      </c>
      <c r="D194" s="5" t="s">
        <v>1458</v>
      </c>
      <c r="E194" s="18" t="s">
        <v>18</v>
      </c>
      <c r="J194" s="2" t="s">
        <v>127</v>
      </c>
      <c r="K194" s="2" t="s">
        <v>127</v>
      </c>
      <c r="L194" s="2" t="s">
        <v>127</v>
      </c>
    </row>
    <row r="195" spans="1:18" ht="60" x14ac:dyDescent="0.25">
      <c r="A195" s="2" t="str">
        <f>"PAED"&amp;TEXT(Table65[[#This Row],[Count]],"000")&amp;"."&amp;IF(Table65[[#This Row],[Category]]="Essential","E",IF(Table65[[#This Row],[Category]]="Discretionary","D","O"))</f>
        <v>PAED124.E</v>
      </c>
      <c r="B195" s="2">
        <f>MAX(Table64[Count])+ROWS(INDEX(Table65[Count],1):Table65[[#This Row],[Count]])</f>
        <v>124</v>
      </c>
      <c r="C195" s="5" t="s">
        <v>37</v>
      </c>
      <c r="D195" s="5" t="s">
        <v>1459</v>
      </c>
      <c r="E195" s="16" t="s">
        <v>13</v>
      </c>
      <c r="M195" s="2" t="s">
        <v>127</v>
      </c>
      <c r="N195" s="2" t="s">
        <v>127</v>
      </c>
      <c r="O195" s="2" t="s">
        <v>127</v>
      </c>
      <c r="P195" s="2" t="s">
        <v>127</v>
      </c>
      <c r="Q195" s="5" t="s">
        <v>127</v>
      </c>
      <c r="R195" s="5" t="s">
        <v>1460</v>
      </c>
    </row>
    <row r="196" spans="1:18" x14ac:dyDescent="0.25">
      <c r="A196" s="2" t="str">
        <f>"PAED"&amp;TEXT(Table65[[#This Row],[Count]],"000")&amp;"."&amp;IF(Table65[[#This Row],[Category]]="Essential","E",IF(Table65[[#This Row],[Category]]="Discretionary","D","O"))</f>
        <v>PAED125.D</v>
      </c>
      <c r="B196" s="2">
        <f>MAX(Table64[Count])+ROWS(INDEX(Table65[Count],1):Table65[[#This Row],[Count]])</f>
        <v>125</v>
      </c>
      <c r="C196" s="5" t="s">
        <v>37</v>
      </c>
      <c r="D196" s="5" t="s">
        <v>1461</v>
      </c>
      <c r="E196" s="18" t="s">
        <v>18</v>
      </c>
      <c r="F196" s="2" t="s">
        <v>127</v>
      </c>
    </row>
    <row r="197" spans="1:18" ht="75" x14ac:dyDescent="0.25">
      <c r="A197" s="2" t="str">
        <f>"PAED"&amp;TEXT(Table65[[#This Row],[Count]],"000")&amp;"."&amp;IF(Table65[[#This Row],[Category]]="Essential","E",IF(Table65[[#This Row],[Category]]="Discretionary","D","O"))</f>
        <v>PAED126.O</v>
      </c>
      <c r="B197" s="2">
        <f>MAX(Table64[Count])+ROWS(INDEX(Table65[Count],1):Table65[[#This Row],[Count]])</f>
        <v>126</v>
      </c>
      <c r="C197" s="5" t="s">
        <v>37</v>
      </c>
      <c r="D197" s="5" t="s">
        <v>1462</v>
      </c>
      <c r="E197" s="2" t="s">
        <v>23</v>
      </c>
      <c r="L197" s="2" t="s">
        <v>127</v>
      </c>
      <c r="M197" s="2" t="s">
        <v>127</v>
      </c>
      <c r="N197" s="2" t="s">
        <v>127</v>
      </c>
      <c r="O197" s="2" t="s">
        <v>127</v>
      </c>
      <c r="P197" s="2" t="s">
        <v>127</v>
      </c>
      <c r="Q197" s="5" t="s">
        <v>127</v>
      </c>
      <c r="R197" s="5" t="s">
        <v>1237</v>
      </c>
    </row>
    <row r="198" spans="1:18" ht="30" x14ac:dyDescent="0.25">
      <c r="A198" s="2" t="str">
        <f>"PAED"&amp;TEXT(Table65[[#This Row],[Count]],"000")&amp;"."&amp;IF(Table65[[#This Row],[Category]]="Essential","E",IF(Table65[[#This Row],[Category]]="Discretionary","D","O"))</f>
        <v>PAED127.E</v>
      </c>
      <c r="B198" s="2">
        <f>MAX(Table64[Count])+ROWS(INDEX(Table65[Count],1):Table65[[#This Row],[Count]])</f>
        <v>127</v>
      </c>
      <c r="C198" s="5" t="s">
        <v>37</v>
      </c>
      <c r="D198" s="5" t="s">
        <v>1463</v>
      </c>
      <c r="E198" s="16" t="s">
        <v>13</v>
      </c>
      <c r="N198" s="2" t="s">
        <v>127</v>
      </c>
      <c r="O198" s="2" t="s">
        <v>127</v>
      </c>
      <c r="P198" s="2" t="s">
        <v>127</v>
      </c>
      <c r="Q198" s="5" t="s">
        <v>127</v>
      </c>
    </row>
    <row r="199" spans="1:18" x14ac:dyDescent="0.25">
      <c r="A199" s="2" t="str">
        <f>"PAED"&amp;TEXT(Table65[[#This Row],[Count]],"000")&amp;"."&amp;IF(Table65[[#This Row],[Category]]="Essential","E",IF(Table65[[#This Row],[Category]]="Discretionary","D","O"))</f>
        <v>PAED128.D</v>
      </c>
      <c r="B199" s="2">
        <f>MAX(Table64[Count])+ROWS(INDEX(Table65[Count],1):Table65[[#This Row],[Count]])</f>
        <v>128</v>
      </c>
      <c r="C199" s="5" t="s">
        <v>37</v>
      </c>
      <c r="D199" s="5" t="s">
        <v>1464</v>
      </c>
      <c r="E199" s="18" t="s">
        <v>18</v>
      </c>
      <c r="L199" s="2" t="s">
        <v>127</v>
      </c>
      <c r="M199" s="2" t="s">
        <v>127</v>
      </c>
      <c r="N199" s="2" t="s">
        <v>127</v>
      </c>
      <c r="O199" s="2" t="s">
        <v>127</v>
      </c>
      <c r="P199" s="2" t="s">
        <v>127</v>
      </c>
      <c r="Q199" s="5" t="s">
        <v>127</v>
      </c>
    </row>
    <row r="200" spans="1:18" ht="45" customHeight="1" x14ac:dyDescent="0.25">
      <c r="A200" s="2" t="str">
        <f>"PAED"&amp;TEXT(Table65[[#This Row],[Count]],"000")&amp;"."&amp;IF(Table65[[#This Row],[Category]]="Essential","E",IF(Table65[[#This Row],[Category]]="Discretionary","D","O"))</f>
        <v>PAED129.E</v>
      </c>
      <c r="B200" s="2">
        <f>MAX(Table64[Count])+ROWS(INDEX(Table65[Count],1):Table65[[#This Row],[Count]])</f>
        <v>129</v>
      </c>
      <c r="C200" s="5" t="s">
        <v>37</v>
      </c>
      <c r="D200" s="5" t="s">
        <v>1465</v>
      </c>
      <c r="E200" s="16" t="s">
        <v>13</v>
      </c>
      <c r="N200" s="2" t="s">
        <v>127</v>
      </c>
      <c r="O200" s="2" t="s">
        <v>127</v>
      </c>
      <c r="P200" s="2" t="s">
        <v>127</v>
      </c>
      <c r="Q200" s="5" t="s">
        <v>127</v>
      </c>
    </row>
    <row r="201" spans="1:18" ht="30.75" customHeight="1" x14ac:dyDescent="0.25">
      <c r="A201" s="2" t="str">
        <f>"PAED"&amp;TEXT(Table65[[#This Row],[Count]],"000")&amp;"."&amp;IF(Table65[[#This Row],[Category]]="Essential","E",IF(Table65[[#This Row],[Category]]="Discretionary","D","O"))</f>
        <v>PAED130.E</v>
      </c>
      <c r="B201" s="2">
        <f>MAX(Table64[Count])+ROWS(INDEX(Table65[Count],1):Table65[[#This Row],[Count]])</f>
        <v>130</v>
      </c>
      <c r="C201" s="5" t="s">
        <v>37</v>
      </c>
      <c r="D201" s="5" t="s">
        <v>1466</v>
      </c>
      <c r="E201" s="16" t="s">
        <v>13</v>
      </c>
      <c r="N201" s="2" t="s">
        <v>127</v>
      </c>
      <c r="O201" s="2" t="s">
        <v>127</v>
      </c>
      <c r="P201" s="2" t="s">
        <v>127</v>
      </c>
      <c r="Q201" s="5" t="s">
        <v>127</v>
      </c>
    </row>
    <row r="202" spans="1:18" ht="45" x14ac:dyDescent="0.25">
      <c r="A202" s="2" t="str">
        <f>"PAED"&amp;TEXT(Table65[[#This Row],[Count]],"000")&amp;"."&amp;IF(Table65[[#This Row],[Category]]="Essential","E",IF(Table65[[#This Row],[Category]]="Discretionary","D","O"))</f>
        <v>PAED131.E</v>
      </c>
      <c r="B202" s="2">
        <f>MAX(Table64[Count])+ROWS(INDEX(Table65[Count],1):Table65[[#This Row],[Count]])</f>
        <v>131</v>
      </c>
      <c r="C202" s="5" t="s">
        <v>37</v>
      </c>
      <c r="D202" s="5" t="s">
        <v>1467</v>
      </c>
      <c r="E202" s="16" t="s">
        <v>13</v>
      </c>
      <c r="N202" s="2" t="s">
        <v>127</v>
      </c>
      <c r="O202" s="2" t="s">
        <v>127</v>
      </c>
      <c r="P202" s="2" t="s">
        <v>127</v>
      </c>
      <c r="Q202" s="5" t="s">
        <v>127</v>
      </c>
    </row>
    <row r="203" spans="1:18" ht="30" x14ac:dyDescent="0.25">
      <c r="A203" s="2" t="str">
        <f>"PAED"&amp;TEXT(Table65[[#This Row],[Count]],"000")&amp;"."&amp;IF(Table65[[#This Row],[Category]]="Essential","E",IF(Table65[[#This Row],[Category]]="Discretionary","D","O"))</f>
        <v>PAED132.E</v>
      </c>
      <c r="B203" s="2">
        <f>MAX(Table64[Count])+ROWS(INDEX(Table65[Count],1):Table65[[#This Row],[Count]])</f>
        <v>132</v>
      </c>
      <c r="C203" s="5" t="s">
        <v>37</v>
      </c>
      <c r="D203" s="5" t="s">
        <v>1468</v>
      </c>
      <c r="E203" s="16" t="s">
        <v>13</v>
      </c>
      <c r="N203" s="2" t="s">
        <v>127</v>
      </c>
      <c r="O203" s="2" t="s">
        <v>127</v>
      </c>
      <c r="P203" s="2" t="s">
        <v>127</v>
      </c>
      <c r="Q203" s="5" t="s">
        <v>127</v>
      </c>
    </row>
    <row r="204" spans="1:18" ht="56.25" customHeight="1" x14ac:dyDescent="0.25">
      <c r="A204" s="2" t="str">
        <f>"PAED"&amp;TEXT(Table65[[#This Row],[Count]],"000")&amp;"."&amp;IF(Table65[[#This Row],[Category]]="Essential","E",IF(Table65[[#This Row],[Category]]="Discretionary","D","O"))</f>
        <v>PAED133.E</v>
      </c>
      <c r="B204" s="2">
        <f>MAX(Table64[Count])+ROWS(INDEX(Table65[Count],1):Table65[[#This Row],[Count]])</f>
        <v>133</v>
      </c>
      <c r="C204" s="5" t="s">
        <v>37</v>
      </c>
      <c r="D204" s="5" t="s">
        <v>1469</v>
      </c>
      <c r="E204" s="16" t="s">
        <v>13</v>
      </c>
      <c r="N204" s="2" t="s">
        <v>127</v>
      </c>
      <c r="O204" s="2" t="s">
        <v>127</v>
      </c>
      <c r="P204" s="2" t="s">
        <v>127</v>
      </c>
      <c r="Q204" s="5" t="s">
        <v>127</v>
      </c>
    </row>
    <row r="205" spans="1:18" ht="30" x14ac:dyDescent="0.25">
      <c r="A205" s="2" t="str">
        <f>"PAED"&amp;TEXT(Table65[[#This Row],[Count]],"000")&amp;"."&amp;IF(Table65[[#This Row],[Category]]="Essential","E",IF(Table65[[#This Row],[Category]]="Discretionary","D","O"))</f>
        <v>PAED134.E</v>
      </c>
      <c r="B205" s="2">
        <f>MAX(Table64[Count])+ROWS(INDEX(Table65[Count],1):Table65[[#This Row],[Count]])</f>
        <v>134</v>
      </c>
      <c r="C205" s="5" t="s">
        <v>37</v>
      </c>
      <c r="D205" s="5" t="s">
        <v>1470</v>
      </c>
      <c r="E205" s="16" t="s">
        <v>13</v>
      </c>
      <c r="N205" s="2" t="s">
        <v>127</v>
      </c>
      <c r="O205" s="2" t="s">
        <v>127</v>
      </c>
      <c r="P205" s="2" t="s">
        <v>127</v>
      </c>
      <c r="Q205" s="5" t="s">
        <v>127</v>
      </c>
    </row>
    <row r="206" spans="1:18" ht="30" x14ac:dyDescent="0.25">
      <c r="A206" s="2" t="str">
        <f>"PAED"&amp;TEXT(Table65[[#This Row],[Count]],"000")&amp;"."&amp;IF(Table65[[#This Row],[Category]]="Essential","E",IF(Table65[[#This Row],[Category]]="Discretionary","D","O"))</f>
        <v>PAED135.E</v>
      </c>
      <c r="B206" s="2">
        <f>MAX(Table64[Count])+ROWS(INDEX(Table65[Count],1):Table65[[#This Row],[Count]])</f>
        <v>135</v>
      </c>
      <c r="C206" s="5" t="s">
        <v>37</v>
      </c>
      <c r="D206" s="5" t="s">
        <v>1471</v>
      </c>
      <c r="E206" s="16" t="s">
        <v>13</v>
      </c>
      <c r="N206" s="2" t="s">
        <v>127</v>
      </c>
      <c r="O206" s="2" t="s">
        <v>127</v>
      </c>
      <c r="P206" s="2" t="s">
        <v>127</v>
      </c>
      <c r="Q206" s="5" t="s">
        <v>127</v>
      </c>
    </row>
    <row r="207" spans="1:18" ht="30" x14ac:dyDescent="0.25">
      <c r="A207" s="2" t="str">
        <f>"PAED"&amp;TEXT(Table65[[#This Row],[Count]],"000")&amp;"."&amp;IF(Table65[[#This Row],[Category]]="Essential","E",IF(Table65[[#This Row],[Category]]="Discretionary","D","O"))</f>
        <v>PAED136.E</v>
      </c>
      <c r="B207" s="2">
        <f>MAX(Table64[Count])+ROWS(INDEX(Table65[Count],1):Table65[[#This Row],[Count]])</f>
        <v>136</v>
      </c>
      <c r="C207" s="5" t="s">
        <v>37</v>
      </c>
      <c r="D207" s="5" t="s">
        <v>1472</v>
      </c>
      <c r="E207" s="16" t="s">
        <v>13</v>
      </c>
      <c r="N207" s="2" t="s">
        <v>127</v>
      </c>
      <c r="O207" s="2" t="s">
        <v>127</v>
      </c>
      <c r="P207" s="2" t="s">
        <v>127</v>
      </c>
      <c r="Q207" s="5" t="s">
        <v>127</v>
      </c>
    </row>
    <row r="208" spans="1:18" ht="30" x14ac:dyDescent="0.25">
      <c r="A208" s="2" t="str">
        <f>"PAED"&amp;TEXT(Table65[[#This Row],[Count]],"000")&amp;"."&amp;IF(Table65[[#This Row],[Category]]="Essential","E",IF(Table65[[#This Row],[Category]]="Discretionary","D","O"))</f>
        <v>PAED137.E</v>
      </c>
      <c r="B208" s="2">
        <f>MAX(Table64[Count])+ROWS(INDEX(Table65[Count],1):Table65[[#This Row],[Count]])</f>
        <v>137</v>
      </c>
      <c r="C208" s="5" t="s">
        <v>37</v>
      </c>
      <c r="D208" s="5" t="s">
        <v>1473</v>
      </c>
      <c r="E208" s="16" t="s">
        <v>13</v>
      </c>
      <c r="N208" s="2" t="s">
        <v>127</v>
      </c>
      <c r="O208" s="2" t="s">
        <v>127</v>
      </c>
      <c r="P208" s="2" t="s">
        <v>127</v>
      </c>
      <c r="Q208" s="5" t="s">
        <v>127</v>
      </c>
    </row>
    <row r="209" spans="1:18" ht="30" x14ac:dyDescent="0.25">
      <c r="A209" s="2" t="str">
        <f>"PAED"&amp;TEXT(Table65[[#This Row],[Count]],"000")&amp;"."&amp;IF(Table65[[#This Row],[Category]]="Essential","E",IF(Table65[[#This Row],[Category]]="Discretionary","D","O"))</f>
        <v>PAED138.E</v>
      </c>
      <c r="B209" s="2">
        <f>MAX(Table64[Count])+ROWS(INDEX(Table65[Count],1):Table65[[#This Row],[Count]])</f>
        <v>138</v>
      </c>
      <c r="C209" s="5" t="s">
        <v>37</v>
      </c>
      <c r="D209" s="5" t="s">
        <v>1474</v>
      </c>
      <c r="E209" s="16" t="s">
        <v>13</v>
      </c>
      <c r="N209" s="2" t="s">
        <v>127</v>
      </c>
      <c r="O209" s="2" t="s">
        <v>127</v>
      </c>
      <c r="P209" s="2" t="s">
        <v>127</v>
      </c>
      <c r="Q209" s="5" t="s">
        <v>127</v>
      </c>
    </row>
    <row r="210" spans="1:18" ht="30" x14ac:dyDescent="0.25">
      <c r="A210" s="2" t="str">
        <f>"PAED"&amp;TEXT(Table65[[#This Row],[Count]],"000")&amp;"."&amp;IF(Table65[[#This Row],[Category]]="Essential","E",IF(Table65[[#This Row],[Category]]="Discretionary","D","O"))</f>
        <v>PAED139.E</v>
      </c>
      <c r="B210" s="2">
        <f>MAX(Table64[Count])+ROWS(INDEX(Table65[Count],1):Table65[[#This Row],[Count]])</f>
        <v>139</v>
      </c>
      <c r="C210" s="5" t="s">
        <v>37</v>
      </c>
      <c r="D210" s="5" t="s">
        <v>1475</v>
      </c>
      <c r="E210" s="16" t="s">
        <v>13</v>
      </c>
      <c r="N210" s="2" t="s">
        <v>127</v>
      </c>
      <c r="O210" s="2" t="s">
        <v>127</v>
      </c>
      <c r="P210" s="2" t="s">
        <v>127</v>
      </c>
      <c r="Q210" s="5" t="s">
        <v>127</v>
      </c>
    </row>
    <row r="211" spans="1:18" x14ac:dyDescent="0.25">
      <c r="A211" s="2" t="str">
        <f>"PAED"&amp;TEXT(Table65[[#This Row],[Count]],"000")&amp;"."&amp;IF(Table65[[#This Row],[Category]]="Essential","E",IF(Table65[[#This Row],[Category]]="Discretionary","D","O"))</f>
        <v>PAED140.E</v>
      </c>
      <c r="B211" s="2">
        <f>MAX(Table64[Count])+ROWS(INDEX(Table65[Count],1):Table65[[#This Row],[Count]])</f>
        <v>140</v>
      </c>
      <c r="C211" s="5" t="s">
        <v>37</v>
      </c>
      <c r="D211" s="5" t="s">
        <v>1476</v>
      </c>
      <c r="E211" s="16" t="s">
        <v>13</v>
      </c>
      <c r="N211" s="2" t="s">
        <v>127</v>
      </c>
      <c r="O211" s="2" t="s">
        <v>127</v>
      </c>
      <c r="P211" s="2" t="s">
        <v>127</v>
      </c>
      <c r="Q211" s="5" t="s">
        <v>127</v>
      </c>
    </row>
    <row r="212" spans="1:18" ht="30" x14ac:dyDescent="0.25">
      <c r="A212" s="2" t="str">
        <f>"PAED"&amp;TEXT(Table65[[#This Row],[Count]],"000")&amp;"."&amp;IF(Table65[[#This Row],[Category]]="Essential","E",IF(Table65[[#This Row],[Category]]="Discretionary","D","O"))</f>
        <v>PAED141.E</v>
      </c>
      <c r="B212" s="2">
        <f>MAX(Table64[Count])+ROWS(INDEX(Table65[Count],1):Table65[[#This Row],[Count]])</f>
        <v>141</v>
      </c>
      <c r="C212" s="5" t="s">
        <v>37</v>
      </c>
      <c r="D212" s="5" t="s">
        <v>1477</v>
      </c>
      <c r="E212" s="16" t="s">
        <v>13</v>
      </c>
      <c r="N212" s="2" t="s">
        <v>127</v>
      </c>
      <c r="O212" s="2" t="s">
        <v>127</v>
      </c>
      <c r="P212" s="2" t="s">
        <v>127</v>
      </c>
      <c r="Q212" s="5" t="s">
        <v>127</v>
      </c>
    </row>
    <row r="213" spans="1:18" ht="30" x14ac:dyDescent="0.25">
      <c r="A213" s="2" t="str">
        <f>"PAED"&amp;TEXT(Table65[[#This Row],[Count]],"000")&amp;"."&amp;IF(Table65[[#This Row],[Category]]="Essential","E",IF(Table65[[#This Row],[Category]]="Discretionary","D","O"))</f>
        <v>PAED142.E</v>
      </c>
      <c r="B213" s="2">
        <f>MAX(Table64[Count])+ROWS(INDEX(Table65[Count],1):Table65[[#This Row],[Count]])</f>
        <v>142</v>
      </c>
      <c r="C213" s="5" t="s">
        <v>37</v>
      </c>
      <c r="D213" s="5" t="s">
        <v>1478</v>
      </c>
      <c r="E213" s="16" t="s">
        <v>13</v>
      </c>
      <c r="N213" s="2" t="s">
        <v>127</v>
      </c>
      <c r="O213" s="2" t="s">
        <v>127</v>
      </c>
      <c r="P213" s="2" t="s">
        <v>127</v>
      </c>
      <c r="Q213" s="5" t="s">
        <v>127</v>
      </c>
    </row>
    <row r="214" spans="1:18" x14ac:dyDescent="0.25">
      <c r="A214" s="2" t="str">
        <f>"PAED"&amp;TEXT(Table65[[#This Row],[Count]],"000")&amp;"."&amp;IF(Table65[[#This Row],[Category]]="Essential","E",IF(Table65[[#This Row],[Category]]="Discretionary","D","O"))</f>
        <v>PAED143.E</v>
      </c>
      <c r="B214" s="2">
        <f>MAX(Table64[Count])+ROWS(INDEX(Table65[Count],1):Table65[[#This Row],[Count]])</f>
        <v>143</v>
      </c>
      <c r="C214" s="5" t="s">
        <v>37</v>
      </c>
      <c r="D214" s="5" t="s">
        <v>1479</v>
      </c>
      <c r="E214" s="16" t="s">
        <v>13</v>
      </c>
      <c r="N214" s="2" t="s">
        <v>127</v>
      </c>
      <c r="O214" s="2" t="s">
        <v>127</v>
      </c>
      <c r="P214" s="2" t="s">
        <v>127</v>
      </c>
      <c r="Q214" s="5" t="s">
        <v>127</v>
      </c>
    </row>
    <row r="215" spans="1:18" ht="30" x14ac:dyDescent="0.25">
      <c r="A215" s="2" t="str">
        <f>"PAED"&amp;TEXT(Table65[[#This Row],[Count]],"000")&amp;"."&amp;IF(Table65[[#This Row],[Category]]="Essential","E",IF(Table65[[#This Row],[Category]]="Discretionary","D","O"))</f>
        <v>PAED144.E</v>
      </c>
      <c r="B215" s="2">
        <f>MAX(Table64[Count])+ROWS(INDEX(Table65[Count],1):Table65[[#This Row],[Count]])</f>
        <v>144</v>
      </c>
      <c r="C215" s="5" t="s">
        <v>37</v>
      </c>
      <c r="D215" s="5" t="s">
        <v>1480</v>
      </c>
      <c r="E215" s="16" t="s">
        <v>13</v>
      </c>
      <c r="N215" s="2" t="s">
        <v>127</v>
      </c>
      <c r="O215" s="2" t="s">
        <v>127</v>
      </c>
      <c r="P215" s="2" t="s">
        <v>127</v>
      </c>
      <c r="Q215" s="5" t="s">
        <v>127</v>
      </c>
    </row>
    <row r="216" spans="1:18" x14ac:dyDescent="0.25">
      <c r="A216" s="2" t="str">
        <f>"PAED"&amp;TEXT(Table65[[#This Row],[Count]],"000")&amp;"."&amp;IF(Table65[[#This Row],[Category]]="Essential","E",IF(Table65[[#This Row],[Category]]="Discretionary","D","O"))</f>
        <v>PAED145.D</v>
      </c>
      <c r="B216" s="2">
        <f>MAX(Table64[Count])+ROWS(INDEX(Table65[Count],1):Table65[[#This Row],[Count]])</f>
        <v>145</v>
      </c>
      <c r="C216" s="5" t="s">
        <v>37</v>
      </c>
      <c r="D216" s="5" t="s">
        <v>1481</v>
      </c>
      <c r="E216" s="18" t="s">
        <v>18</v>
      </c>
      <c r="F216" s="2" t="s">
        <v>127</v>
      </c>
      <c r="Q216" s="2"/>
    </row>
    <row r="217" spans="1:18" ht="45" x14ac:dyDescent="0.25">
      <c r="A217" s="2" t="str">
        <f>"PAED"&amp;TEXT(Table65[[#This Row],[Count]],"000")&amp;"."&amp;IF(Table65[[#This Row],[Category]]="Essential","E",IF(Table65[[#This Row],[Category]]="Discretionary","D","O"))</f>
        <v>PAED146.E</v>
      </c>
      <c r="B217" s="2">
        <f>MAX(Table64[Count])+ROWS(INDEX(Table65[Count],1):Table65[[#This Row],[Count]])</f>
        <v>146</v>
      </c>
      <c r="C217" s="5" t="s">
        <v>37</v>
      </c>
      <c r="D217" s="5" t="s">
        <v>1482</v>
      </c>
      <c r="E217" s="16" t="s">
        <v>13</v>
      </c>
      <c r="F217" s="2" t="s">
        <v>127</v>
      </c>
    </row>
    <row r="218" spans="1:18" ht="45" x14ac:dyDescent="0.25">
      <c r="A218" s="2" t="str">
        <f>"PAED"&amp;TEXT(Table65[[#This Row],[Count]],"000")&amp;"."&amp;IF(Table65[[#This Row],[Category]]="Essential","E",IF(Table65[[#This Row],[Category]]="Discretionary","D","O"))</f>
        <v>PAED147.D</v>
      </c>
      <c r="B218" s="2">
        <f>MAX(Table64[Count])+ROWS(INDEX(Table65[Count],1):Table65[[#This Row],[Count]])</f>
        <v>147</v>
      </c>
      <c r="C218" s="5" t="s">
        <v>37</v>
      </c>
      <c r="D218" s="5" t="s">
        <v>1483</v>
      </c>
      <c r="E218" s="18" t="s">
        <v>18</v>
      </c>
    </row>
    <row r="219" spans="1:18" ht="30" x14ac:dyDescent="0.25">
      <c r="A219" s="2" t="str">
        <f>"PAED"&amp;TEXT(Table65[[#This Row],[Count]],"000")&amp;"."&amp;IF(Table65[[#This Row],[Category]]="Essential","E",IF(Table65[[#This Row],[Category]]="Discretionary","D","O"))</f>
        <v>PAED148.D</v>
      </c>
      <c r="B219" s="2">
        <f>MAX(Table64[Count])+ROWS(INDEX(Table65[Count],1):Table65[[#This Row],[Count]])</f>
        <v>148</v>
      </c>
      <c r="C219" s="5" t="s">
        <v>37</v>
      </c>
      <c r="D219" s="5" t="s">
        <v>1484</v>
      </c>
      <c r="E219" s="18" t="s">
        <v>18</v>
      </c>
      <c r="J219" s="2" t="s">
        <v>127</v>
      </c>
      <c r="K219" s="2" t="s">
        <v>127</v>
      </c>
      <c r="L219" s="2" t="s">
        <v>127</v>
      </c>
      <c r="M219" s="2" t="s">
        <v>127</v>
      </c>
      <c r="N219" s="2" t="s">
        <v>127</v>
      </c>
      <c r="O219" s="2" t="s">
        <v>127</v>
      </c>
      <c r="P219" s="2" t="s">
        <v>127</v>
      </c>
      <c r="Q219" s="5" t="s">
        <v>127</v>
      </c>
    </row>
    <row r="220" spans="1:18" x14ac:dyDescent="0.25">
      <c r="A220" s="2" t="str">
        <f>"PAED"&amp;TEXT(Table65[[#This Row],[Count]],"000")&amp;"."&amp;IF(Table65[[#This Row],[Category]]="Essential","E",IF(Table65[[#This Row],[Category]]="Discretionary","D","O"))</f>
        <v>PAED149.E</v>
      </c>
      <c r="B220" s="2">
        <f>MAX(Table64[Count])+ROWS(INDEX(Table65[Count],1):Table65[[#This Row],[Count]])</f>
        <v>149</v>
      </c>
      <c r="C220" s="5" t="s">
        <v>37</v>
      </c>
      <c r="D220" s="5" t="s">
        <v>1485</v>
      </c>
      <c r="E220" s="16" t="s">
        <v>13</v>
      </c>
      <c r="J220" s="2" t="s">
        <v>127</v>
      </c>
      <c r="K220" s="2" t="s">
        <v>127</v>
      </c>
      <c r="L220" s="2" t="s">
        <v>127</v>
      </c>
      <c r="M220" s="2" t="s">
        <v>127</v>
      </c>
      <c r="N220" s="2" t="s">
        <v>127</v>
      </c>
      <c r="R220" s="5" t="s">
        <v>1486</v>
      </c>
    </row>
    <row r="221" spans="1:18" x14ac:dyDescent="0.25">
      <c r="A221" s="2" t="str">
        <f>"PAED"&amp;TEXT(Table65[[#This Row],[Count]],"000")&amp;"."&amp;IF(Table65[[#This Row],[Category]]="Essential","E",IF(Table65[[#This Row],[Category]]="Discretionary","D","O"))</f>
        <v>PAED150.E</v>
      </c>
      <c r="B221" s="2">
        <f>MAX(Table64[Count])+ROWS(INDEX(Table65[Count],1):Table65[[#This Row],[Count]])</f>
        <v>150</v>
      </c>
      <c r="C221" s="5" t="s">
        <v>37</v>
      </c>
      <c r="D221" s="5" t="s">
        <v>1487</v>
      </c>
      <c r="E221" s="16" t="s">
        <v>13</v>
      </c>
      <c r="L221" s="2" t="s">
        <v>127</v>
      </c>
      <c r="M221" s="2" t="s">
        <v>127</v>
      </c>
      <c r="N221" s="2" t="s">
        <v>127</v>
      </c>
      <c r="O221" s="2" t="s">
        <v>127</v>
      </c>
      <c r="P221" s="2" t="s">
        <v>127</v>
      </c>
      <c r="Q221" s="5" t="s">
        <v>127</v>
      </c>
      <c r="R221" s="5" t="s">
        <v>1486</v>
      </c>
    </row>
    <row r="222" spans="1:18" x14ac:dyDescent="0.25">
      <c r="A222" s="2" t="str">
        <f>"PAED"&amp;TEXT(Table65[[#This Row],[Count]],"000")&amp;"."&amp;IF(Table65[[#This Row],[Category]]="Essential","E",IF(Table65[[#This Row],[Category]]="Discretionary","D","O"))</f>
        <v>PAED151.D</v>
      </c>
      <c r="B222" s="2">
        <f>MAX(Table64[Count])+ROWS(INDEX(Table65[Count],1):Table65[[#This Row],[Count]])</f>
        <v>151</v>
      </c>
      <c r="C222" s="5" t="s">
        <v>37</v>
      </c>
      <c r="D222" s="5" t="s">
        <v>1488</v>
      </c>
      <c r="E222" s="18" t="s">
        <v>18</v>
      </c>
      <c r="J222" s="2" t="s">
        <v>127</v>
      </c>
      <c r="K222" s="2" t="s">
        <v>127</v>
      </c>
      <c r="L222" s="2" t="s">
        <v>127</v>
      </c>
      <c r="M222" s="2" t="s">
        <v>127</v>
      </c>
      <c r="N222" s="2" t="s">
        <v>127</v>
      </c>
      <c r="O222" s="2" t="s">
        <v>127</v>
      </c>
      <c r="P222" s="2" t="s">
        <v>127</v>
      </c>
      <c r="Q222" s="5" t="s">
        <v>127</v>
      </c>
    </row>
    <row r="223" spans="1:18" x14ac:dyDescent="0.25">
      <c r="A223" s="2" t="str">
        <f>"PAED"&amp;TEXT(Table65[[#This Row],[Count]],"000")&amp;"."&amp;IF(Table65[[#This Row],[Category]]="Essential","E",IF(Table65[[#This Row],[Category]]="Discretionary","D","O"))</f>
        <v>PAED152.E</v>
      </c>
      <c r="B223" s="2">
        <f>MAX(Table64[Count])+ROWS(INDEX(Table65[Count],1):Table65[[#This Row],[Count]])</f>
        <v>152</v>
      </c>
      <c r="C223" s="5" t="s">
        <v>37</v>
      </c>
      <c r="D223" s="5" t="s">
        <v>1489</v>
      </c>
      <c r="E223" s="16" t="s">
        <v>13</v>
      </c>
      <c r="N223" s="2" t="s">
        <v>127</v>
      </c>
      <c r="O223" s="2" t="s">
        <v>127</v>
      </c>
      <c r="P223" s="2" t="s">
        <v>127</v>
      </c>
      <c r="Q223" s="5" t="s">
        <v>127</v>
      </c>
      <c r="R223" s="5" t="s">
        <v>1490</v>
      </c>
    </row>
    <row r="224" spans="1:18" x14ac:dyDescent="0.25">
      <c r="A224" s="2" t="str">
        <f>"PAED"&amp;TEXT(Table65[[#This Row],[Count]],"000")&amp;"."&amp;IF(Table65[[#This Row],[Category]]="Essential","E",IF(Table65[[#This Row],[Category]]="Discretionary","D","O"))</f>
        <v>PAED153.D</v>
      </c>
      <c r="B224" s="2">
        <f>MAX(Table64[Count])+ROWS(INDEX(Table65[Count],1):Table65[[#This Row],[Count]])</f>
        <v>153</v>
      </c>
      <c r="C224" s="5" t="s">
        <v>37</v>
      </c>
      <c r="D224" s="5" t="s">
        <v>1491</v>
      </c>
      <c r="E224" s="18" t="s">
        <v>18</v>
      </c>
      <c r="J224" s="2" t="s">
        <v>127</v>
      </c>
      <c r="K224" s="2" t="s">
        <v>127</v>
      </c>
      <c r="L224" s="2" t="s">
        <v>127</v>
      </c>
      <c r="M224" s="2" t="s">
        <v>127</v>
      </c>
      <c r="N224" s="2" t="s">
        <v>127</v>
      </c>
      <c r="O224" s="2" t="s">
        <v>127</v>
      </c>
      <c r="P224" s="2" t="s">
        <v>127</v>
      </c>
      <c r="Q224" s="5" t="s">
        <v>127</v>
      </c>
    </row>
    <row r="225" spans="1:18" x14ac:dyDescent="0.25">
      <c r="A225" s="2" t="str">
        <f>"PAED"&amp;TEXT(Table65[[#This Row],[Count]],"000")&amp;"."&amp;IF(Table65[[#This Row],[Category]]="Essential","E",IF(Table65[[#This Row],[Category]]="Discretionary","D","O"))</f>
        <v>PAED154.D</v>
      </c>
      <c r="B225" s="2">
        <f>MAX(Table64[Count])+ROWS(INDEX(Table65[Count],1):Table65[[#This Row],[Count]])</f>
        <v>154</v>
      </c>
      <c r="C225" s="5" t="s">
        <v>37</v>
      </c>
      <c r="D225" s="5" t="s">
        <v>1492</v>
      </c>
      <c r="E225" s="18" t="s">
        <v>18</v>
      </c>
      <c r="M225" s="2" t="s">
        <v>127</v>
      </c>
      <c r="N225" s="2" t="s">
        <v>127</v>
      </c>
      <c r="O225" s="2" t="s">
        <v>127</v>
      </c>
      <c r="P225" s="2" t="s">
        <v>127</v>
      </c>
      <c r="Q225" s="5" t="s">
        <v>127</v>
      </c>
    </row>
    <row r="226" spans="1:18" ht="60" x14ac:dyDescent="0.25">
      <c r="A226" s="2" t="str">
        <f>"PAED"&amp;TEXT(Table65[[#This Row],[Count]],"000")&amp;"."&amp;IF(Table65[[#This Row],[Category]]="Essential","E",IF(Table65[[#This Row],[Category]]="Discretionary","D","O"))</f>
        <v>PAED155.E</v>
      </c>
      <c r="B226" s="2">
        <f>MAX(Table64[Count])+ROWS(INDEX(Table65[Count],1):Table65[[#This Row],[Count]])</f>
        <v>155</v>
      </c>
      <c r="C226" s="5" t="s">
        <v>37</v>
      </c>
      <c r="D226" s="5" t="s">
        <v>1493</v>
      </c>
      <c r="E226" s="16" t="s">
        <v>13</v>
      </c>
      <c r="F226" s="2" t="s">
        <v>127</v>
      </c>
      <c r="R226" s="5" t="s">
        <v>1494</v>
      </c>
    </row>
    <row r="227" spans="1:18" x14ac:dyDescent="0.25">
      <c r="A227" s="2" t="str">
        <f>"PAED"&amp;TEXT(Table65[[#This Row],[Count]],"000")&amp;"."&amp;IF(Table65[[#This Row],[Category]]="Essential","E",IF(Table65[[#This Row],[Category]]="Discretionary","D","O"))</f>
        <v>PAED156.E</v>
      </c>
      <c r="B227" s="2">
        <f>MAX(Table64[Count])+ROWS(INDEX(Table65[Count],1):Table65[[#This Row],[Count]])</f>
        <v>156</v>
      </c>
      <c r="C227" s="5" t="s">
        <v>37</v>
      </c>
      <c r="D227" s="5" t="s">
        <v>1495</v>
      </c>
      <c r="E227" s="16" t="s">
        <v>13</v>
      </c>
      <c r="N227" s="2" t="s">
        <v>127</v>
      </c>
      <c r="O227" s="2" t="s">
        <v>127</v>
      </c>
      <c r="P227" s="2" t="s">
        <v>127</v>
      </c>
      <c r="Q227" s="5" t="s">
        <v>127</v>
      </c>
      <c r="R227" s="5" t="s">
        <v>1433</v>
      </c>
    </row>
    <row r="228" spans="1:18" x14ac:dyDescent="0.25">
      <c r="A228" s="2" t="str">
        <f>"PAED"&amp;TEXT(Table65[[#This Row],[Count]],"000")&amp;"."&amp;IF(Table65[[#This Row],[Category]]="Essential","E",IF(Table65[[#This Row],[Category]]="Discretionary","D","O"))</f>
        <v>PAED157.E</v>
      </c>
      <c r="B228" s="2">
        <f>MAX(Table64[Count])+ROWS(INDEX(Table65[Count],1):Table65[[#This Row],[Count]])</f>
        <v>157</v>
      </c>
      <c r="C228" s="5" t="s">
        <v>37</v>
      </c>
      <c r="D228" s="5" t="s">
        <v>1496</v>
      </c>
      <c r="E228" s="16" t="s">
        <v>13</v>
      </c>
      <c r="N228" s="2" t="s">
        <v>127</v>
      </c>
      <c r="O228" s="2" t="s">
        <v>127</v>
      </c>
      <c r="P228" s="2" t="s">
        <v>127</v>
      </c>
      <c r="Q228" s="5" t="s">
        <v>127</v>
      </c>
      <c r="R228" s="5" t="s">
        <v>1433</v>
      </c>
    </row>
    <row r="229" spans="1:18" x14ac:dyDescent="0.25">
      <c r="A229" s="2" t="str">
        <f>"PAED"&amp;TEXT(Table65[[#This Row],[Count]],"000")&amp;"."&amp;IF(Table65[[#This Row],[Category]]="Essential","E",IF(Table65[[#This Row],[Category]]="Discretionary","D","O"))</f>
        <v>PAED158.E</v>
      </c>
      <c r="B229" s="2">
        <f>MAX(Table64[Count])+ROWS(INDEX(Table65[Count],1):Table65[[#This Row],[Count]])</f>
        <v>158</v>
      </c>
      <c r="C229" s="5" t="s">
        <v>37</v>
      </c>
      <c r="D229" s="5" t="s">
        <v>1497</v>
      </c>
      <c r="E229" s="16" t="s">
        <v>13</v>
      </c>
      <c r="N229" s="2" t="s">
        <v>127</v>
      </c>
      <c r="O229" s="2" t="s">
        <v>127</v>
      </c>
      <c r="P229" s="2" t="s">
        <v>127</v>
      </c>
      <c r="Q229" s="5" t="s">
        <v>127</v>
      </c>
      <c r="R229" s="5" t="s">
        <v>1433</v>
      </c>
    </row>
    <row r="230" spans="1:18" ht="30" x14ac:dyDescent="0.25">
      <c r="A230" s="2" t="str">
        <f>"PAED"&amp;TEXT(Table65[[#This Row],[Count]],"000")&amp;"."&amp;IF(Table65[[#This Row],[Category]]="Essential","E",IF(Table65[[#This Row],[Category]]="Discretionary","D","O"))</f>
        <v>PAED159.E</v>
      </c>
      <c r="B230" s="2">
        <f>MAX(Table64[Count])+ROWS(INDEX(Table65[Count],1):Table65[[#This Row],[Count]])</f>
        <v>159</v>
      </c>
      <c r="C230" s="5" t="s">
        <v>37</v>
      </c>
      <c r="D230" s="5" t="s">
        <v>1498</v>
      </c>
      <c r="E230" s="16" t="s">
        <v>13</v>
      </c>
      <c r="F230" s="2" t="s">
        <v>127</v>
      </c>
      <c r="Q230" s="2"/>
      <c r="R230" s="5" t="s">
        <v>1499</v>
      </c>
    </row>
    <row r="231" spans="1:18" ht="30" x14ac:dyDescent="0.25">
      <c r="A231" s="2" t="str">
        <f>"PAED"&amp;TEXT(Table65[[#This Row],[Count]],"000")&amp;"."&amp;IF(Table65[[#This Row],[Category]]="Essential","E",IF(Table65[[#This Row],[Category]]="Discretionary","D","O"))</f>
        <v>PAED160.E</v>
      </c>
      <c r="B231" s="2">
        <f>MAX(Table64[Count])+ROWS(INDEX(Table65[Count],1):Table65[[#This Row],[Count]])</f>
        <v>160</v>
      </c>
      <c r="C231" s="5" t="s">
        <v>37</v>
      </c>
      <c r="D231" s="5" t="s">
        <v>1500</v>
      </c>
      <c r="E231" s="16" t="s">
        <v>13</v>
      </c>
      <c r="M231" s="2" t="s">
        <v>127</v>
      </c>
      <c r="N231" s="2" t="s">
        <v>127</v>
      </c>
      <c r="O231" s="2" t="s">
        <v>127</v>
      </c>
      <c r="P231" s="2" t="s">
        <v>127</v>
      </c>
      <c r="Q231" s="5" t="s">
        <v>127</v>
      </c>
      <c r="R231" s="5" t="s">
        <v>1501</v>
      </c>
    </row>
    <row r="232" spans="1:18" ht="30" x14ac:dyDescent="0.25">
      <c r="A232" s="2" t="str">
        <f>"PAED"&amp;TEXT(Table65[[#This Row],[Count]],"000")&amp;"."&amp;IF(Table65[[#This Row],[Category]]="Essential","E",IF(Table65[[#This Row],[Category]]="Discretionary","D","O"))</f>
        <v>PAED161.E</v>
      </c>
      <c r="B232" s="2">
        <f>MAX(Table64[Count])+ROWS(INDEX(Table65[Count],1):Table65[[#This Row],[Count]])</f>
        <v>161</v>
      </c>
      <c r="C232" s="5" t="s">
        <v>37</v>
      </c>
      <c r="D232" s="5" t="s">
        <v>1502</v>
      </c>
      <c r="E232" s="16" t="s">
        <v>13</v>
      </c>
      <c r="M232" s="2" t="s">
        <v>127</v>
      </c>
      <c r="N232" s="2" t="s">
        <v>127</v>
      </c>
      <c r="O232" s="2" t="s">
        <v>127</v>
      </c>
      <c r="P232" s="2" t="s">
        <v>127</v>
      </c>
      <c r="Q232" s="5" t="s">
        <v>127</v>
      </c>
      <c r="R232" s="5" t="s">
        <v>1501</v>
      </c>
    </row>
    <row r="233" spans="1:18" ht="30" x14ac:dyDescent="0.25">
      <c r="A233" s="2" t="str">
        <f>"PAED"&amp;TEXT(Table65[[#This Row],[Count]],"000")&amp;"."&amp;IF(Table65[[#This Row],[Category]]="Essential","E",IF(Table65[[#This Row],[Category]]="Discretionary","D","O"))</f>
        <v>PAED162.E</v>
      </c>
      <c r="B233" s="2">
        <f>MAX(Table64[Count])+ROWS(INDEX(Table65[Count],1):Table65[[#This Row],[Count]])</f>
        <v>162</v>
      </c>
      <c r="C233" s="5" t="s">
        <v>37</v>
      </c>
      <c r="D233" s="5" t="s">
        <v>1503</v>
      </c>
      <c r="E233" s="16" t="s">
        <v>13</v>
      </c>
      <c r="N233" s="2" t="s">
        <v>127</v>
      </c>
      <c r="O233" s="2" t="s">
        <v>127</v>
      </c>
      <c r="P233" s="2" t="s">
        <v>127</v>
      </c>
      <c r="Q233" s="5" t="s">
        <v>127</v>
      </c>
      <c r="R233" s="5" t="s">
        <v>1501</v>
      </c>
    </row>
    <row r="234" spans="1:18" ht="30" x14ac:dyDescent="0.25">
      <c r="A234" s="2" t="str">
        <f>"PAED"&amp;TEXT(Table65[[#This Row],[Count]],"000")&amp;"."&amp;IF(Table65[[#This Row],[Category]]="Cat 1","1",IF(Table65[[#This Row],[Category]]="Cat 2","2",IF(Table65[[#This Row],[Category]]="Cat 3","3","O")))</f>
        <v>PAED163.O</v>
      </c>
      <c r="B234" s="2">
        <f>MAX(Table64[Count])+ROWS(INDEX(Table65[Count],1):Table65[[#This Row],[Count]])</f>
        <v>163</v>
      </c>
      <c r="C234" s="5" t="s">
        <v>37</v>
      </c>
      <c r="D234" s="5" t="s">
        <v>1500</v>
      </c>
      <c r="E234" s="18" t="s">
        <v>18</v>
      </c>
      <c r="M234" s="2" t="s">
        <v>127</v>
      </c>
      <c r="N234" s="2" t="s">
        <v>127</v>
      </c>
      <c r="O234" s="2" t="s">
        <v>127</v>
      </c>
      <c r="P234" s="2" t="s">
        <v>127</v>
      </c>
      <c r="Q234" s="5" t="s">
        <v>127</v>
      </c>
    </row>
    <row r="235" spans="1:18" ht="30" x14ac:dyDescent="0.25">
      <c r="A235" s="2" t="str">
        <f>"PAED"&amp;TEXT(Table65[[#This Row],[Count]],"000")&amp;"."&amp;IF(Table65[[#This Row],[Category]]="Cat 1","1",IF(Table65[[#This Row],[Category]]="Cat 2","2",IF(Table65[[#This Row],[Category]]="Cat 3","3","O")))</f>
        <v>PAED164.O</v>
      </c>
      <c r="B235" s="2">
        <f>MAX(Table64[Count])+ROWS(INDEX(Table65[Count],1):Table65[[#This Row],[Count]])</f>
        <v>164</v>
      </c>
      <c r="C235" s="5" t="s">
        <v>37</v>
      </c>
      <c r="D235" s="5" t="s">
        <v>1502</v>
      </c>
      <c r="E235" s="18" t="s">
        <v>18</v>
      </c>
      <c r="M235" s="2" t="s">
        <v>127</v>
      </c>
      <c r="N235" s="2" t="s">
        <v>127</v>
      </c>
      <c r="O235" s="2" t="s">
        <v>127</v>
      </c>
      <c r="P235" s="2" t="s">
        <v>127</v>
      </c>
      <c r="Q235" s="5" t="s">
        <v>127</v>
      </c>
    </row>
    <row r="236" spans="1:18" ht="30" x14ac:dyDescent="0.25">
      <c r="A236" s="2" t="str">
        <f>"PAED"&amp;TEXT(Table65[[#This Row],[Count]],"000")&amp;"."&amp;IF(Table65[[#This Row],[Category]]="Cat 1","1",IF(Table65[[#This Row],[Category]]="Cat 2","2",IF(Table65[[#This Row],[Category]]="Cat 3","3","O")))</f>
        <v>PAED165.O</v>
      </c>
      <c r="B236" s="2">
        <f>MAX(Table64[Count])+ROWS(INDEX(Table65[Count],1):Table65[[#This Row],[Count]])</f>
        <v>165</v>
      </c>
      <c r="C236" s="5" t="s">
        <v>37</v>
      </c>
      <c r="D236" s="5" t="s">
        <v>1503</v>
      </c>
      <c r="E236" s="18" t="s">
        <v>18</v>
      </c>
      <c r="N236" s="2" t="s">
        <v>127</v>
      </c>
      <c r="O236" s="2" t="s">
        <v>127</v>
      </c>
      <c r="P236" s="2" t="s">
        <v>127</v>
      </c>
      <c r="Q236" s="5" t="s">
        <v>127</v>
      </c>
    </row>
    <row r="237" spans="1:18" x14ac:dyDescent="0.25">
      <c r="A237" s="2" t="str">
        <f>"PAED"&amp;TEXT(Table65[[#This Row],[Count]],"000")&amp;"."&amp;IF(Table65[[#This Row],[Category]]="Essential","E",IF(Table65[[#This Row],[Category]]="Discretionary","D","O"))</f>
        <v>PAED166.D</v>
      </c>
      <c r="B237" s="2">
        <f>MAX(Table64[Count])+ROWS(INDEX(Table65[Count],1):Table65[[#This Row],[Count]])</f>
        <v>166</v>
      </c>
      <c r="C237" s="5" t="s">
        <v>37</v>
      </c>
      <c r="D237" s="5" t="s">
        <v>1504</v>
      </c>
      <c r="E237" s="18" t="s">
        <v>18</v>
      </c>
      <c r="L237" s="2" t="s">
        <v>127</v>
      </c>
      <c r="M237" s="2" t="s">
        <v>127</v>
      </c>
      <c r="N237" s="2" t="s">
        <v>127</v>
      </c>
      <c r="O237" s="2" t="s">
        <v>127</v>
      </c>
      <c r="P237" s="2" t="s">
        <v>127</v>
      </c>
      <c r="Q237" s="5" t="s">
        <v>127</v>
      </c>
    </row>
    <row r="238" spans="1:18" ht="30" x14ac:dyDescent="0.25">
      <c r="A238" s="2" t="str">
        <f>"PAED"&amp;TEXT(Table65[[#This Row],[Count]],"000")&amp;"."&amp;IF(Table65[[#This Row],[Category]]="Essential","E",IF(Table65[[#This Row],[Category]]="Discretionary","D","O"))</f>
        <v>PAED167.E</v>
      </c>
      <c r="B238" s="2">
        <f>MAX(Table64[Count])+ROWS(INDEX(Table65[Count],1):Table65[[#This Row],[Count]])</f>
        <v>167</v>
      </c>
      <c r="C238" s="5" t="s">
        <v>37</v>
      </c>
      <c r="D238" s="5" t="s">
        <v>1505</v>
      </c>
      <c r="E238" s="16" t="s">
        <v>13</v>
      </c>
      <c r="L238" s="2" t="s">
        <v>127</v>
      </c>
      <c r="M238" s="2" t="s">
        <v>127</v>
      </c>
      <c r="N238" s="2" t="s">
        <v>127</v>
      </c>
      <c r="O238" s="2" t="s">
        <v>127</v>
      </c>
      <c r="P238" s="2" t="s">
        <v>127</v>
      </c>
      <c r="Q238" s="5" t="s">
        <v>127</v>
      </c>
      <c r="R238" s="5" t="s">
        <v>1506</v>
      </c>
    </row>
    <row r="239" spans="1:18" x14ac:dyDescent="0.25">
      <c r="A239" s="2" t="str">
        <f>"PAED"&amp;TEXT(Table65[[#This Row],[Count]],"000")&amp;"."&amp;IF(Table65[[#This Row],[Category]]="Essential","E",IF(Table65[[#This Row],[Category]]="Discretionary","D","O"))</f>
        <v>PAED168.D</v>
      </c>
      <c r="B239" s="2">
        <f>MAX(Table64[Count])+ROWS(INDEX(Table65[Count],1):Table65[[#This Row],[Count]])</f>
        <v>168</v>
      </c>
      <c r="C239" s="5" t="s">
        <v>37</v>
      </c>
      <c r="D239" s="5" t="s">
        <v>1507</v>
      </c>
      <c r="E239" s="18" t="s">
        <v>18</v>
      </c>
      <c r="F239" s="2" t="s">
        <v>127</v>
      </c>
    </row>
    <row r="240" spans="1:18" x14ac:dyDescent="0.25">
      <c r="A240" s="2" t="str">
        <f>"PAED"&amp;TEXT(Table65[[#This Row],[Count]],"000")&amp;"."&amp;IF(Table65[[#This Row],[Category]]="Essential","E",IF(Table65[[#This Row],[Category]]="Discretionary","D","O"))</f>
        <v>PAED169.D</v>
      </c>
      <c r="B240" s="2">
        <f>MAX(Table64[Count])+ROWS(INDEX(Table65[Count],1):Table65[[#This Row],[Count]])</f>
        <v>169</v>
      </c>
      <c r="C240" s="5" t="s">
        <v>37</v>
      </c>
      <c r="D240" s="5" t="s">
        <v>1508</v>
      </c>
      <c r="E240" s="18" t="s">
        <v>18</v>
      </c>
      <c r="F240" s="2" t="s">
        <v>127</v>
      </c>
    </row>
    <row r="241" spans="1:18" ht="30" x14ac:dyDescent="0.25">
      <c r="A241" s="2" t="str">
        <f>"PAED"&amp;TEXT(Table65[[#This Row],[Count]],"000")&amp;"."&amp;IF(Table65[[#This Row],[Category]]="Essential","E",IF(Table65[[#This Row],[Category]]="Discretionary","D","O"))</f>
        <v>PAED170.E</v>
      </c>
      <c r="B241" s="2">
        <f>MAX(Table64[Count])+ROWS(INDEX(Table65[Count],1):Table65[[#This Row],[Count]])</f>
        <v>170</v>
      </c>
      <c r="C241" s="5" t="s">
        <v>37</v>
      </c>
      <c r="D241" s="5" t="s">
        <v>1509</v>
      </c>
      <c r="E241" s="16" t="s">
        <v>13</v>
      </c>
      <c r="N241" s="2" t="s">
        <v>127</v>
      </c>
      <c r="O241" s="2" t="s">
        <v>127</v>
      </c>
      <c r="P241" s="2" t="s">
        <v>127</v>
      </c>
      <c r="Q241" s="5" t="s">
        <v>127</v>
      </c>
      <c r="R241" s="5" t="s">
        <v>1510</v>
      </c>
    </row>
    <row r="242" spans="1:18" ht="30" x14ac:dyDescent="0.25">
      <c r="A242" s="2" t="str">
        <f>"PAED"&amp;TEXT(Table65[[#This Row],[Count]],"000")&amp;"."&amp;IF(Table65[[#This Row],[Category]]="Essential","E",IF(Table65[[#This Row],[Category]]="Discretionary","D","O"))</f>
        <v>PAED171.E</v>
      </c>
      <c r="B242" s="2">
        <f>MAX(Table64[Count])+ROWS(INDEX(Table65[Count],1):Table65[[#This Row],[Count]])</f>
        <v>171</v>
      </c>
      <c r="C242" s="5" t="s">
        <v>37</v>
      </c>
      <c r="D242" s="5" t="s">
        <v>1511</v>
      </c>
      <c r="E242" s="16" t="s">
        <v>13</v>
      </c>
      <c r="L242" s="2" t="s">
        <v>127</v>
      </c>
      <c r="M242" s="2" t="s">
        <v>127</v>
      </c>
      <c r="N242" s="2" t="s">
        <v>127</v>
      </c>
      <c r="O242" s="2" t="s">
        <v>127</v>
      </c>
      <c r="P242" s="2" t="s">
        <v>127</v>
      </c>
      <c r="Q242" s="5" t="s">
        <v>127</v>
      </c>
      <c r="R242" s="5" t="s">
        <v>1512</v>
      </c>
    </row>
    <row r="243" spans="1:18" ht="60" x14ac:dyDescent="0.25">
      <c r="A243" s="2" t="str">
        <f>"PAED"&amp;TEXT(Table65[[#This Row],[Count]],"000")&amp;"."&amp;IF(Table65[[#This Row],[Category]]="Essential","E",IF(Table65[[#This Row],[Category]]="Discretionary","D","O"))</f>
        <v>PAED172.D</v>
      </c>
      <c r="B243" s="2">
        <f>MAX(Table64[Count])+ROWS(INDEX(Table65[Count],1):Table65[[#This Row],[Count]])</f>
        <v>172</v>
      </c>
      <c r="C243" s="5" t="s">
        <v>37</v>
      </c>
      <c r="D243" s="5" t="s">
        <v>1513</v>
      </c>
      <c r="E243" s="18" t="s">
        <v>18</v>
      </c>
      <c r="F243" s="2" t="s">
        <v>127</v>
      </c>
      <c r="R243" s="5" t="s">
        <v>1514</v>
      </c>
    </row>
    <row r="244" spans="1:18" ht="30" x14ac:dyDescent="0.25">
      <c r="A244" s="2" t="str">
        <f>"PAED"&amp;TEXT(Table65[[#This Row],[Count]],"000")&amp;"."&amp;IF(Table65[[#This Row],[Category]]="Essential","E",IF(Table65[[#This Row],[Category]]="Discretionary","D","O"))</f>
        <v>PAED173.E</v>
      </c>
      <c r="B244" s="2">
        <f>MAX(Table64[Count])+ROWS(INDEX(Table65[Count],1):Table65[[#This Row],[Count]])</f>
        <v>173</v>
      </c>
      <c r="C244" s="5" t="s">
        <v>37</v>
      </c>
      <c r="D244" s="5" t="s">
        <v>1515</v>
      </c>
      <c r="E244" s="16" t="s">
        <v>13</v>
      </c>
      <c r="F244" s="2" t="s">
        <v>127</v>
      </c>
      <c r="R244" s="5" t="s">
        <v>1516</v>
      </c>
    </row>
    <row r="245" spans="1:18" x14ac:dyDescent="0.25">
      <c r="A245" s="2" t="str">
        <f>"PAED"&amp;TEXT(Table65[[#This Row],[Count]],"000")&amp;"."&amp;IF(Table65[[#This Row],[Category]]="Essential","E",IF(Table65[[#This Row],[Category]]="Discretionary","D","O"))</f>
        <v>PAED174.E</v>
      </c>
      <c r="B245" s="2">
        <f>MAX(Table64[Count])+ROWS(INDEX(Table65[Count],1):Table65[[#This Row],[Count]])</f>
        <v>174</v>
      </c>
      <c r="C245" s="5" t="s">
        <v>37</v>
      </c>
      <c r="D245" s="5" t="s">
        <v>1517</v>
      </c>
      <c r="E245" s="16" t="s">
        <v>13</v>
      </c>
      <c r="N245" s="2" t="s">
        <v>127</v>
      </c>
      <c r="O245" s="2" t="s">
        <v>127</v>
      </c>
      <c r="P245" s="2" t="s">
        <v>127</v>
      </c>
      <c r="Q245" s="5" t="s">
        <v>127</v>
      </c>
      <c r="R245" s="5" t="s">
        <v>1518</v>
      </c>
    </row>
    <row r="246" spans="1:18" x14ac:dyDescent="0.25">
      <c r="A246" s="2" t="str">
        <f>"PAED"&amp;TEXT(Table65[[#This Row],[Count]],"000")&amp;"."&amp;IF(Table65[[#This Row],[Category]]="Essential","E",IF(Table65[[#This Row],[Category]]="Discretionary","D","O"))</f>
        <v>PAED175.E</v>
      </c>
      <c r="B246" s="2">
        <f>MAX(Table64[Count])+ROWS(INDEX(Table65[Count],1):Table65[[#This Row],[Count]])</f>
        <v>175</v>
      </c>
      <c r="C246" s="5" t="s">
        <v>37</v>
      </c>
      <c r="D246" s="5" t="s">
        <v>1519</v>
      </c>
      <c r="E246" s="16" t="s">
        <v>13</v>
      </c>
      <c r="N246" s="2" t="s">
        <v>127</v>
      </c>
      <c r="O246" s="2" t="s">
        <v>127</v>
      </c>
      <c r="P246" s="2" t="s">
        <v>127</v>
      </c>
      <c r="Q246" s="5" t="s">
        <v>127</v>
      </c>
    </row>
    <row r="247" spans="1:18" ht="30" x14ac:dyDescent="0.25">
      <c r="A247" s="2" t="str">
        <f>"PAED"&amp;TEXT(Table65[[#This Row],[Count]],"000")&amp;"."&amp;IF(Table65[[#This Row],[Category]]="Essential","E",IF(Table65[[#This Row],[Category]]="Discretionary","D","O"))</f>
        <v>PAED176.D</v>
      </c>
      <c r="B247" s="2">
        <f>MAX(Table64[Count])+ROWS(INDEX(Table65[Count],1):Table65[[#This Row],[Count]])</f>
        <v>176</v>
      </c>
      <c r="C247" s="5" t="s">
        <v>37</v>
      </c>
      <c r="D247" s="5" t="s">
        <v>1520</v>
      </c>
      <c r="E247" s="18" t="s">
        <v>18</v>
      </c>
      <c r="F247" s="2" t="s">
        <v>127</v>
      </c>
      <c r="Q247" s="2"/>
    </row>
    <row r="248" spans="1:18" x14ac:dyDescent="0.25">
      <c r="A248" s="2" t="str">
        <f>"PAED"&amp;TEXT(Table65[[#This Row],[Count]],"000")&amp;"."&amp;IF(Table65[[#This Row],[Category]]="Essential","E",IF(Table65[[#This Row],[Category]]="Discretionary","D","O"))</f>
        <v>PAED177.D</v>
      </c>
      <c r="B248" s="2">
        <f>MAX(Table64[Count])+ROWS(INDEX(Table65[Count],1):Table65[[#This Row],[Count]])</f>
        <v>177</v>
      </c>
      <c r="C248" s="5" t="s">
        <v>37</v>
      </c>
      <c r="D248" s="5" t="s">
        <v>1407</v>
      </c>
      <c r="E248" s="18" t="s">
        <v>18</v>
      </c>
      <c r="L248" s="2" t="s">
        <v>127</v>
      </c>
      <c r="M248" s="2" t="s">
        <v>127</v>
      </c>
      <c r="N248" s="2" t="s">
        <v>127</v>
      </c>
      <c r="O248" s="2" t="s">
        <v>127</v>
      </c>
      <c r="P248" s="2" t="s">
        <v>127</v>
      </c>
      <c r="Q248" s="5" t="s">
        <v>127</v>
      </c>
    </row>
    <row r="249" spans="1:18" ht="30" x14ac:dyDescent="0.25">
      <c r="A249" s="2" t="str">
        <f>"PAED"&amp;TEXT(Table65[[#This Row],[Count]],"000")&amp;"."&amp;IF(Table65[[#This Row],[Category]]="Essential","E",IF(Table65[[#This Row],[Category]]="Discretionary","D","O"))</f>
        <v>PAED178.D</v>
      </c>
      <c r="B249" s="2">
        <f>MAX(Table64[Count])+ROWS(INDEX(Table65[Count],1):Table65[[#This Row],[Count]])</f>
        <v>178</v>
      </c>
      <c r="C249" s="5" t="s">
        <v>37</v>
      </c>
      <c r="D249" s="5" t="s">
        <v>1521</v>
      </c>
      <c r="E249" s="18" t="s">
        <v>18</v>
      </c>
      <c r="L249" s="2" t="s">
        <v>127</v>
      </c>
      <c r="M249" s="2" t="s">
        <v>127</v>
      </c>
      <c r="N249" s="2" t="s">
        <v>127</v>
      </c>
    </row>
    <row r="250" spans="1:18" x14ac:dyDescent="0.25">
      <c r="A250" s="2" t="str">
        <f>"PAED"&amp;TEXT(Table65[[#This Row],[Count]],"000")&amp;"."&amp;IF(Table65[[#This Row],[Category]]="Essential","E",IF(Table65[[#This Row],[Category]]="Discretionary","D","O"))</f>
        <v>PAED179.D</v>
      </c>
      <c r="B250" s="2">
        <f>MAX(Table64[Count])+ROWS(INDEX(Table65[Count],1):Table65[[#This Row],[Count]])</f>
        <v>179</v>
      </c>
      <c r="C250" s="5" t="s">
        <v>37</v>
      </c>
      <c r="D250" s="5" t="s">
        <v>1522</v>
      </c>
      <c r="E250" s="18" t="s">
        <v>18</v>
      </c>
      <c r="F250" s="2" t="s">
        <v>127</v>
      </c>
      <c r="Q250" s="2"/>
    </row>
    <row r="251" spans="1:18" ht="50.25" customHeight="1" x14ac:dyDescent="0.25">
      <c r="A251" s="2" t="str">
        <f>"PAED"&amp;TEXT(Table65[[#This Row],[Count]],"000")&amp;"."&amp;IF(Table65[[#This Row],[Category]]="Essential","E",IF(Table65[[#This Row],[Category]]="Discretionary","D","O"))</f>
        <v>PAED180.O</v>
      </c>
      <c r="B251" s="2">
        <f>MAX(Table64[Count])+ROWS(INDEX(Table65[Count],1):Table65[[#This Row],[Count]])</f>
        <v>180</v>
      </c>
      <c r="C251" s="5" t="s">
        <v>37</v>
      </c>
      <c r="D251" s="5" t="s">
        <v>1523</v>
      </c>
      <c r="E251" s="2" t="s">
        <v>23</v>
      </c>
      <c r="L251" s="2" t="s">
        <v>127</v>
      </c>
      <c r="M251" s="2" t="s">
        <v>127</v>
      </c>
      <c r="N251" s="2" t="s">
        <v>127</v>
      </c>
      <c r="O251" s="2" t="s">
        <v>127</v>
      </c>
      <c r="P251" s="2" t="s">
        <v>127</v>
      </c>
      <c r="Q251" s="5" t="s">
        <v>127</v>
      </c>
      <c r="R251" s="5" t="s">
        <v>1237</v>
      </c>
    </row>
    <row r="252" spans="1:18" ht="50.25" customHeight="1" x14ac:dyDescent="0.25">
      <c r="A252" s="2" t="str">
        <f>"PAED"&amp;TEXT(Table65[[#This Row],[Count]],"000")&amp;"."&amp;IF(Table65[[#This Row],[Category]]="Essential","E",IF(Table65[[#This Row],[Category]]="Discretionary","D","O"))</f>
        <v>PAED181.O</v>
      </c>
      <c r="B252" s="2">
        <f>MAX(Table64[Count])+ROWS(INDEX(Table65[Count],1):Table65[[#This Row],[Count]])</f>
        <v>181</v>
      </c>
      <c r="C252" s="5" t="s">
        <v>37</v>
      </c>
      <c r="D252" s="5" t="s">
        <v>1524</v>
      </c>
      <c r="E252" s="2" t="s">
        <v>23</v>
      </c>
      <c r="L252" s="2" t="s">
        <v>127</v>
      </c>
      <c r="M252" s="2" t="s">
        <v>127</v>
      </c>
      <c r="N252" s="2" t="s">
        <v>127</v>
      </c>
      <c r="O252" s="2" t="s">
        <v>127</v>
      </c>
      <c r="P252" s="2" t="s">
        <v>127</v>
      </c>
      <c r="Q252" s="5" t="s">
        <v>127</v>
      </c>
      <c r="R252" s="5" t="s">
        <v>1237</v>
      </c>
    </row>
    <row r="253" spans="1:18" x14ac:dyDescent="0.25">
      <c r="A253" s="2" t="str">
        <f>"PAED"&amp;TEXT(Table65[[#This Row],[Count]],"000")&amp;"."&amp;IF(Table65[[#This Row],[Category]]="Essential","E",IF(Table65[[#This Row],[Category]]="Discretionary","D","O"))</f>
        <v>PAED182.D</v>
      </c>
      <c r="B253" s="2">
        <f>MAX(Table64[Count])+ROWS(INDEX(Table65[Count],1):Table65[[#This Row],[Count]])</f>
        <v>182</v>
      </c>
      <c r="C253" s="5" t="s">
        <v>37</v>
      </c>
      <c r="D253" s="5" t="s">
        <v>1525</v>
      </c>
      <c r="E253" s="18" t="s">
        <v>18</v>
      </c>
      <c r="F253" s="2" t="s">
        <v>127</v>
      </c>
    </row>
    <row r="254" spans="1:18" ht="30" x14ac:dyDescent="0.25">
      <c r="A254" s="2" t="str">
        <f>"PAED"&amp;TEXT(Table65[[#This Row],[Count]],"000")&amp;"."&amp;IF(Table65[[#This Row],[Category]]="Essential","E",IF(Table65[[#This Row],[Category]]="Discretionary","D","O"))</f>
        <v>PAED183.D</v>
      </c>
      <c r="B254" s="2">
        <f>MAX(Table64[Count])+ROWS(INDEX(Table65[Count],1):Table65[[#This Row],[Count]])</f>
        <v>183</v>
      </c>
      <c r="C254" s="5" t="s">
        <v>37</v>
      </c>
      <c r="D254" s="5" t="s">
        <v>1526</v>
      </c>
      <c r="E254" s="18" t="s">
        <v>18</v>
      </c>
      <c r="F254" s="2" t="s">
        <v>127</v>
      </c>
    </row>
    <row r="255" spans="1:18" x14ac:dyDescent="0.25">
      <c r="A255" s="2" t="str">
        <f>"PAED"&amp;TEXT(Table65[[#This Row],[Count]],"000")&amp;"."&amp;IF(Table65[[#This Row],[Category]]="Essential","E",IF(Table65[[#This Row],[Category]]="Discretionary","D","O"))</f>
        <v>PAED184.D</v>
      </c>
      <c r="B255" s="2">
        <f>MAX(Table64[Count])+ROWS(INDEX(Table65[Count],1):Table65[[#This Row],[Count]])</f>
        <v>184</v>
      </c>
      <c r="C255" s="5" t="s">
        <v>37</v>
      </c>
      <c r="D255" s="5" t="s">
        <v>1527</v>
      </c>
      <c r="E255" s="36" t="s">
        <v>18</v>
      </c>
      <c r="L255" s="2" t="s">
        <v>127</v>
      </c>
      <c r="M255" s="2" t="s">
        <v>127</v>
      </c>
      <c r="N255" s="2" t="s">
        <v>127</v>
      </c>
      <c r="O255" s="2" t="s">
        <v>127</v>
      </c>
      <c r="P255" s="2" t="s">
        <v>127</v>
      </c>
      <c r="Q255" s="5" t="s">
        <v>127</v>
      </c>
      <c r="R255" s="5" t="s">
        <v>1528</v>
      </c>
    </row>
    <row r="256" spans="1:18" x14ac:dyDescent="0.25">
      <c r="A256" s="2" t="str">
        <f>"PAED"&amp;TEXT(Table65[[#This Row],[Count]],"000")&amp;"."&amp;IF(Table65[[#This Row],[Category]]="Essential","E",IF(Table65[[#This Row],[Category]]="Discretionary","D","O"))</f>
        <v>PAED185.D</v>
      </c>
      <c r="B256" s="2">
        <f>MAX(Table64[Count])+ROWS(INDEX(Table65[Count],1):Table65[[#This Row],[Count]])</f>
        <v>185</v>
      </c>
      <c r="C256" s="5" t="s">
        <v>37</v>
      </c>
      <c r="D256" s="5" t="s">
        <v>1529</v>
      </c>
      <c r="E256" s="36" t="s">
        <v>18</v>
      </c>
      <c r="F256" s="2" t="s">
        <v>127</v>
      </c>
      <c r="R256" s="5" t="s">
        <v>1530</v>
      </c>
    </row>
    <row r="257" spans="1:18" ht="30" x14ac:dyDescent="0.25">
      <c r="A257" s="2" t="str">
        <f>"PAED"&amp;TEXT(Table65[[#This Row],[Count]],"000")&amp;"."&amp;IF(Table65[[#This Row],[Category]]="Essential","E",IF(Table65[[#This Row],[Category]]="Discretionary","D","O"))</f>
        <v>PAED186.D</v>
      </c>
      <c r="B257" s="2">
        <f>MAX(Table64[Count])+ROWS(INDEX(Table65[Count],1):Table65[[#This Row],[Count]])</f>
        <v>186</v>
      </c>
      <c r="C257" s="5" t="s">
        <v>37</v>
      </c>
      <c r="D257" s="5" t="s">
        <v>1531</v>
      </c>
      <c r="E257" s="18" t="s">
        <v>18</v>
      </c>
      <c r="F257" s="2" t="s">
        <v>127</v>
      </c>
    </row>
    <row r="259" spans="1:18" x14ac:dyDescent="0.25">
      <c r="A259" s="58" t="s">
        <v>1532</v>
      </c>
      <c r="B259" s="58"/>
      <c r="C259" s="58"/>
      <c r="D259" s="58"/>
      <c r="E259" s="58"/>
      <c r="F259" s="58"/>
      <c r="G259" s="58"/>
      <c r="H259" s="58"/>
      <c r="I259" s="58"/>
      <c r="J259" s="58"/>
      <c r="K259" s="58"/>
      <c r="L259" s="58"/>
      <c r="M259" s="58"/>
      <c r="N259" s="58"/>
      <c r="O259" s="58"/>
      <c r="P259" s="58"/>
      <c r="Q259" s="58"/>
      <c r="R259" s="58"/>
    </row>
    <row r="261" spans="1:18" x14ac:dyDescent="0.25">
      <c r="A261" s="6" t="s">
        <v>120</v>
      </c>
      <c r="B261" s="6" t="s">
        <v>121</v>
      </c>
      <c r="C261" s="7" t="s">
        <v>122</v>
      </c>
      <c r="D261" s="7" t="s">
        <v>123</v>
      </c>
      <c r="E261" s="6" t="s">
        <v>8</v>
      </c>
      <c r="F261" s="6" t="s">
        <v>124</v>
      </c>
      <c r="G261" s="6" t="s">
        <v>154</v>
      </c>
      <c r="H261" s="6" t="s">
        <v>155</v>
      </c>
      <c r="I261" s="6" t="s">
        <v>156</v>
      </c>
      <c r="J261" s="6" t="s">
        <v>157</v>
      </c>
      <c r="K261" s="6" t="s">
        <v>158</v>
      </c>
      <c r="L261" s="6" t="s">
        <v>159</v>
      </c>
      <c r="M261" s="6" t="s">
        <v>160</v>
      </c>
      <c r="N261" s="6" t="s">
        <v>161</v>
      </c>
      <c r="O261" s="6" t="s">
        <v>162</v>
      </c>
      <c r="P261" s="6" t="s">
        <v>163</v>
      </c>
      <c r="Q261" s="7" t="s">
        <v>164</v>
      </c>
      <c r="R261" s="7" t="s">
        <v>125</v>
      </c>
    </row>
    <row r="262" spans="1:18" ht="30" x14ac:dyDescent="0.25">
      <c r="A262" s="2" t="str">
        <f>"PAED"&amp;TEXT(Table5780[[#This Row],[Count]],"000")&amp;"."&amp;IF(Table5780[[#This Row],[Category]]="Essential","E",IF(Table5780[[#This Row],[Category]]="Discretionary","D","O"))</f>
        <v>PAED187.E</v>
      </c>
      <c r="B262" s="2">
        <f>MAX(Table65[Count])+ROWS(INDEX(Table5780[Count],1):Table5780[[#This Row],[Count]])</f>
        <v>187</v>
      </c>
      <c r="C262" s="35" t="s">
        <v>1532</v>
      </c>
      <c r="D262" s="35" t="s">
        <v>1533</v>
      </c>
      <c r="E262" s="16" t="s">
        <v>13</v>
      </c>
      <c r="F262" s="34"/>
      <c r="G262" s="34"/>
      <c r="H262" s="34"/>
      <c r="I262" s="34"/>
      <c r="J262" s="34"/>
      <c r="K262" s="34"/>
      <c r="L262" s="34"/>
      <c r="M262" s="34"/>
      <c r="N262" s="2" t="s">
        <v>127</v>
      </c>
      <c r="O262" s="2" t="s">
        <v>127</v>
      </c>
      <c r="P262" s="2" t="s">
        <v>127</v>
      </c>
      <c r="Q262" s="5" t="s">
        <v>127</v>
      </c>
      <c r="R262" s="35" t="s">
        <v>1534</v>
      </c>
    </row>
    <row r="263" spans="1:18" ht="30" x14ac:dyDescent="0.25">
      <c r="A263" s="34" t="str">
        <f>"PAED"&amp;TEXT(Table5780[[#This Row],[Count]],"000")&amp;"."&amp;IF(Table5780[[#This Row],[Category]]="Essential","E",IF(Table5780[[#This Row],[Category]]="Discretionary","D","O"))</f>
        <v>PAED188.E</v>
      </c>
      <c r="B263" s="50">
        <f>MAX(Table65[Count])+ROWS(INDEX(Table5780[Count],1):Table5780[[#This Row],[Count]])</f>
        <v>188</v>
      </c>
      <c r="C263" s="35" t="s">
        <v>1535</v>
      </c>
      <c r="D263" s="35" t="s">
        <v>1536</v>
      </c>
      <c r="E263" s="16" t="s">
        <v>13</v>
      </c>
      <c r="F263" s="34"/>
      <c r="G263" s="34"/>
      <c r="H263" s="34"/>
      <c r="I263" s="34"/>
      <c r="J263" s="34"/>
      <c r="K263" s="34"/>
      <c r="L263" s="34"/>
      <c r="M263" s="34"/>
      <c r="N263" s="2" t="s">
        <v>127</v>
      </c>
      <c r="O263" s="2" t="s">
        <v>127</v>
      </c>
      <c r="P263" s="2" t="s">
        <v>127</v>
      </c>
      <c r="Q263" s="5" t="s">
        <v>127</v>
      </c>
      <c r="R263" s="35" t="s">
        <v>1537</v>
      </c>
    </row>
  </sheetData>
  <mergeCells count="21">
    <mergeCell ref="A259:R259"/>
    <mergeCell ref="A173:R173"/>
    <mergeCell ref="A112:R112"/>
    <mergeCell ref="A121:R121"/>
    <mergeCell ref="A134:R134"/>
    <mergeCell ref="A152:R152"/>
    <mergeCell ref="A159:R159"/>
    <mergeCell ref="A166:R166"/>
    <mergeCell ref="A101:R101"/>
    <mergeCell ref="A1:R1"/>
    <mergeCell ref="A3:R3"/>
    <mergeCell ref="A11:R11"/>
    <mergeCell ref="A16:R16"/>
    <mergeCell ref="A30:R30"/>
    <mergeCell ref="A35:R35"/>
    <mergeCell ref="A52:R52"/>
    <mergeCell ref="A59:R59"/>
    <mergeCell ref="A70:R70"/>
    <mergeCell ref="A78:R78"/>
    <mergeCell ref="A94:R94"/>
    <mergeCell ref="A2:R2"/>
  </mergeCells>
  <phoneticPr fontId="3" type="noConversion"/>
  <conditionalFormatting sqref="E6:E9 E195">
    <cfRule type="containsText" dxfId="158" priority="284" operator="containsText" text="Essential">
      <formula>NOT(ISERROR(SEARCH("Essential",E6)))</formula>
    </cfRule>
    <cfRule type="containsText" dxfId="157" priority="285" operator="containsText" text="1">
      <formula>NOT(ISERROR(SEARCH("1",E6)))</formula>
    </cfRule>
  </conditionalFormatting>
  <conditionalFormatting sqref="E10:E13 E15:E18 E30:E32 E34:E37 E51:E54 E58:E61 E69:E72 E77:E88 E93:E96 E100:E103 E111:E114 E120:E123 E133:E136 E151:E161 E166:E168 E172:E175 E258:E260 E264:E535">
    <cfRule type="containsText" dxfId="156" priority="287" operator="containsText" text="Other">
      <formula>NOT(ISERROR(SEARCH("Other",E10)))</formula>
    </cfRule>
    <cfRule type="containsText" dxfId="155" priority="289" operator="containsText" text="Discretionary">
      <formula>NOT(ISERROR(SEARCH("Discretionary",E10)))</formula>
    </cfRule>
    <cfRule type="containsText" dxfId="154" priority="290" operator="containsText" text="Essential">
      <formula>NOT(ISERROR(SEARCH("Essential",E10)))</formula>
    </cfRule>
  </conditionalFormatting>
  <conditionalFormatting sqref="E14">
    <cfRule type="containsText" dxfId="153" priority="281" operator="containsText" text="Essential">
      <formula>NOT(ISERROR(SEARCH("Essential",E14)))</formula>
    </cfRule>
    <cfRule type="containsText" dxfId="152" priority="282" operator="containsText" text="1">
      <formula>NOT(ISERROR(SEARCH("1",E14)))</formula>
    </cfRule>
  </conditionalFormatting>
  <conditionalFormatting sqref="E19:E21 E23:E25">
    <cfRule type="containsText" dxfId="151" priority="266" operator="containsText" text="Essential">
      <formula>NOT(ISERROR(SEARCH("Essential",E19)))</formula>
    </cfRule>
    <cfRule type="containsText" dxfId="150" priority="267" operator="containsText" text="1">
      <formula>NOT(ISERROR(SEARCH("1",E19)))</formula>
    </cfRule>
  </conditionalFormatting>
  <conditionalFormatting sqref="E22 E181 E224:E225">
    <cfRule type="containsText" dxfId="149" priority="265" operator="containsText" text="Discretionary">
      <formula>NOT(ISERROR(SEARCH("Discretionary",E22)))</formula>
    </cfRule>
  </conditionalFormatting>
  <conditionalFormatting sqref="E26:E27">
    <cfRule type="containsText" dxfId="148" priority="271" operator="containsText" text="Discretionary">
      <formula>NOT(ISERROR(SEARCH("Discretionary",E26)))</formula>
    </cfRule>
  </conditionalFormatting>
  <conditionalFormatting sqref="E28:E29">
    <cfRule type="containsText" dxfId="147" priority="269" operator="containsText" text="Essential">
      <formula>NOT(ISERROR(SEARCH("Essential",E28)))</formula>
    </cfRule>
    <cfRule type="containsText" dxfId="146" priority="270" operator="containsText" text="1">
      <formula>NOT(ISERROR(SEARCH("1",E28)))</formula>
    </cfRule>
  </conditionalFormatting>
  <conditionalFormatting sqref="E33">
    <cfRule type="containsText" dxfId="145" priority="261" operator="containsText" text="Other">
      <formula>NOT(ISERROR(SEARCH("Other",E33)))</formula>
    </cfRule>
    <cfRule type="containsText" dxfId="144" priority="262" operator="containsText" text="Discretionary">
      <formula>NOT(ISERROR(SEARCH("Discretionary",E33)))</formula>
    </cfRule>
    <cfRule type="containsText" dxfId="143" priority="263" operator="containsText" text="Essential">
      <formula>NOT(ISERROR(SEARCH("Essential",E33)))</formula>
    </cfRule>
  </conditionalFormatting>
  <conditionalFormatting sqref="E38:E41">
    <cfRule type="containsText" dxfId="142" priority="251" operator="containsText" text="Essential">
      <formula>NOT(ISERROR(SEARCH("Essential",E38)))</formula>
    </cfRule>
    <cfRule type="containsText" dxfId="141" priority="252" operator="containsText" text="1">
      <formula>NOT(ISERROR(SEARCH("1",E38)))</formula>
    </cfRule>
  </conditionalFormatting>
  <conditionalFormatting sqref="E42:E50">
    <cfRule type="containsText" dxfId="140" priority="253" operator="containsText" text="Other">
      <formula>NOT(ISERROR(SEARCH("Other",E42)))</formula>
    </cfRule>
    <cfRule type="containsText" dxfId="139" priority="254" operator="containsText" text="Discretionary">
      <formula>NOT(ISERROR(SEARCH("Discretionary",E42)))</formula>
    </cfRule>
    <cfRule type="containsText" dxfId="138" priority="255" operator="containsText" text="Essential">
      <formula>NOT(ISERROR(SEARCH("Essential",E42)))</formula>
    </cfRule>
  </conditionalFormatting>
  <conditionalFormatting sqref="E55:E57">
    <cfRule type="containsText" dxfId="137" priority="247" operator="containsText" text="Other">
      <formula>NOT(ISERROR(SEARCH("Other",E55)))</formula>
    </cfRule>
    <cfRule type="containsText" dxfId="136" priority="248" operator="containsText" text="Discretionary">
      <formula>NOT(ISERROR(SEARCH("Discretionary",E55)))</formula>
    </cfRule>
    <cfRule type="containsText" dxfId="135" priority="249" operator="containsText" text="Essential">
      <formula>NOT(ISERROR(SEARCH("Essential",E55)))</formula>
    </cfRule>
  </conditionalFormatting>
  <conditionalFormatting sqref="E62:E68">
    <cfRule type="containsText" dxfId="134" priority="243" operator="containsText" text="Other">
      <formula>NOT(ISERROR(SEARCH("Other",E62)))</formula>
    </cfRule>
    <cfRule type="containsText" dxfId="133" priority="244" operator="containsText" text="Discretionary">
      <formula>NOT(ISERROR(SEARCH("Discretionary",E62)))</formula>
    </cfRule>
    <cfRule type="containsText" dxfId="132" priority="245" operator="containsText" text="Essential">
      <formula>NOT(ISERROR(SEARCH("Essential",E62)))</formula>
    </cfRule>
  </conditionalFormatting>
  <conditionalFormatting sqref="E73:E75">
    <cfRule type="containsText" dxfId="131" priority="239" operator="containsText" text="Other">
      <formula>NOT(ISERROR(SEARCH("Other",E73)))</formula>
    </cfRule>
    <cfRule type="containsText" dxfId="130" priority="240" operator="containsText" text="Discretionary">
      <formula>NOT(ISERROR(SEARCH("Discretionary",E73)))</formula>
    </cfRule>
    <cfRule type="containsText" dxfId="129" priority="241" operator="containsText" text="Essential">
      <formula>NOT(ISERROR(SEARCH("Essential",E73)))</formula>
    </cfRule>
  </conditionalFormatting>
  <conditionalFormatting sqref="E76">
    <cfRule type="containsText" dxfId="128" priority="237" operator="containsText" text="Essential">
      <formula>NOT(ISERROR(SEARCH("Essential",E76)))</formula>
    </cfRule>
    <cfRule type="containsText" dxfId="127" priority="238" operator="containsText" text="1">
      <formula>NOT(ISERROR(SEARCH("1",E76)))</formula>
    </cfRule>
  </conditionalFormatting>
  <conditionalFormatting sqref="E89:E91">
    <cfRule type="containsText" dxfId="126" priority="235" operator="containsText" text="Essential">
      <formula>NOT(ISERROR(SEARCH("Essential",E89)))</formula>
    </cfRule>
    <cfRule type="containsText" dxfId="125" priority="236" operator="containsText" text="1">
      <formula>NOT(ISERROR(SEARCH("1",E89)))</formula>
    </cfRule>
  </conditionalFormatting>
  <conditionalFormatting sqref="E92">
    <cfRule type="containsText" dxfId="124" priority="234" operator="containsText" text="Discretionary">
      <formula>NOT(ISERROR(SEARCH("Discretionary",E92)))</formula>
    </cfRule>
  </conditionalFormatting>
  <conditionalFormatting sqref="E97:E99">
    <cfRule type="containsText" dxfId="123" priority="15" operator="containsText" text="Essential">
      <formula>NOT(ISERROR(SEARCH("Essential",E97)))</formula>
    </cfRule>
    <cfRule type="containsText" dxfId="122" priority="16" operator="containsText" text="1">
      <formula>NOT(ISERROR(SEARCH("1",E97)))</formula>
    </cfRule>
  </conditionalFormatting>
  <conditionalFormatting sqref="E104:E105">
    <cfRule type="containsText" dxfId="121" priority="220" operator="containsText" text="Essential">
      <formula>NOT(ISERROR(SEARCH("Essential",E104)))</formula>
    </cfRule>
    <cfRule type="containsText" dxfId="120" priority="221" operator="containsText" text="1">
      <formula>NOT(ISERROR(SEARCH("1",E104)))</formula>
    </cfRule>
  </conditionalFormatting>
  <conditionalFormatting sqref="E106:E108">
    <cfRule type="containsText" dxfId="119" priority="222" operator="containsText" text="Other">
      <formula>NOT(ISERROR(SEARCH("Other",E106)))</formula>
    </cfRule>
    <cfRule type="containsText" dxfId="118" priority="223" operator="containsText" text="Discretionary">
      <formula>NOT(ISERROR(SEARCH("Discretionary",E106)))</formula>
    </cfRule>
    <cfRule type="containsText" dxfId="117" priority="224" operator="containsText" text="Essential">
      <formula>NOT(ISERROR(SEARCH("Essential",E106)))</formula>
    </cfRule>
  </conditionalFormatting>
  <conditionalFormatting sqref="E109:E110">
    <cfRule type="containsText" dxfId="116" priority="218" operator="containsText" text="Essential">
      <formula>NOT(ISERROR(SEARCH("Essential",E109)))</formula>
    </cfRule>
    <cfRule type="containsText" dxfId="115" priority="219" operator="containsText" text="1">
      <formula>NOT(ISERROR(SEARCH("1",E109)))</formula>
    </cfRule>
  </conditionalFormatting>
  <conditionalFormatting sqref="E115">
    <cfRule type="containsText" dxfId="114" priority="212" operator="containsText" text="Essential">
      <formula>NOT(ISERROR(SEARCH("Essential",E115)))</formula>
    </cfRule>
    <cfRule type="containsText" dxfId="113" priority="213" operator="containsText" text="1">
      <formula>NOT(ISERROR(SEARCH("1",E115)))</formula>
    </cfRule>
  </conditionalFormatting>
  <conditionalFormatting sqref="E116">
    <cfRule type="containsText" dxfId="112" priority="214" operator="containsText" text="Other">
      <formula>NOT(ISERROR(SEARCH("Other",E116)))</formula>
    </cfRule>
    <cfRule type="containsText" dxfId="111" priority="215" operator="containsText" text="Discretionary">
      <formula>NOT(ISERROR(SEARCH("Discretionary",E116)))</formula>
    </cfRule>
    <cfRule type="containsText" dxfId="110" priority="216" operator="containsText" text="Essential">
      <formula>NOT(ISERROR(SEARCH("Essential",E116)))</formula>
    </cfRule>
  </conditionalFormatting>
  <conditionalFormatting sqref="E117:E119">
    <cfRule type="containsText" dxfId="109" priority="210" operator="containsText" text="Essential">
      <formula>NOT(ISERROR(SEARCH("Essential",E117)))</formula>
    </cfRule>
    <cfRule type="containsText" dxfId="108" priority="211" operator="containsText" text="1">
      <formula>NOT(ISERROR(SEARCH("1",E117)))</formula>
    </cfRule>
  </conditionalFormatting>
  <conditionalFormatting sqref="E124:E132">
    <cfRule type="containsText" dxfId="107" priority="207" operator="containsText" text="Essential">
      <formula>NOT(ISERROR(SEARCH("Essential",E124)))</formula>
    </cfRule>
    <cfRule type="containsText" dxfId="106" priority="208" operator="containsText" text="1">
      <formula>NOT(ISERROR(SEARCH("1",E124)))</formula>
    </cfRule>
  </conditionalFormatting>
  <conditionalFormatting sqref="E137:E150">
    <cfRule type="containsText" dxfId="105" priority="12" operator="containsText" text="Essential">
      <formula>NOT(ISERROR(SEARCH("Essential",E137)))</formula>
    </cfRule>
    <cfRule type="containsText" dxfId="104" priority="13" operator="containsText" text="1">
      <formula>NOT(ISERROR(SEARCH("1",E137)))</formula>
    </cfRule>
  </conditionalFormatting>
  <conditionalFormatting sqref="E162:E165">
    <cfRule type="containsText" dxfId="103" priority="174" operator="containsText" text="Essential">
      <formula>NOT(ISERROR(SEARCH("Essential",E162)))</formula>
    </cfRule>
    <cfRule type="containsText" dxfId="102" priority="175" operator="containsText" text="1">
      <formula>NOT(ISERROR(SEARCH("1",E162)))</formula>
    </cfRule>
  </conditionalFormatting>
  <conditionalFormatting sqref="E169:E171">
    <cfRule type="containsText" dxfId="101" priority="171" operator="containsText" text="Essential">
      <formula>NOT(ISERROR(SEARCH("Essential",E169)))</formula>
    </cfRule>
    <cfRule type="containsText" dxfId="100" priority="172" operator="containsText" text="1">
      <formula>NOT(ISERROR(SEARCH("1",E169)))</formula>
    </cfRule>
  </conditionalFormatting>
  <conditionalFormatting sqref="E176:E179">
    <cfRule type="containsText" dxfId="99" priority="152" operator="containsText" text="Discretionary">
      <formula>NOT(ISERROR(SEARCH("Discretionary",E176)))</formula>
    </cfRule>
  </conditionalFormatting>
  <conditionalFormatting sqref="E180">
    <cfRule type="containsText" dxfId="98" priority="159" operator="containsText" text="Essential">
      <formula>NOT(ISERROR(SEARCH("Essential",E180)))</formula>
    </cfRule>
    <cfRule type="containsText" dxfId="97" priority="160" operator="containsText" text="1">
      <formula>NOT(ISERROR(SEARCH("1",E180)))</formula>
    </cfRule>
  </conditionalFormatting>
  <conditionalFormatting sqref="E182:E183">
    <cfRule type="containsText" dxfId="96" priority="107" operator="containsText" text="Essential">
      <formula>NOT(ISERROR(SEARCH("Essential",E182)))</formula>
    </cfRule>
    <cfRule type="containsText" dxfId="95" priority="108" operator="containsText" text="1">
      <formula>NOT(ISERROR(SEARCH("1",E182)))</formula>
    </cfRule>
  </conditionalFormatting>
  <conditionalFormatting sqref="E184">
    <cfRule type="containsText" dxfId="94" priority="105" operator="containsText" text="Discretionary">
      <formula>NOT(ISERROR(SEARCH("Discretionary",E184)))</formula>
    </cfRule>
  </conditionalFormatting>
  <conditionalFormatting sqref="E185:E186">
    <cfRule type="containsText" dxfId="93" priority="99" operator="containsText" text="Essential">
      <formula>NOT(ISERROR(SEARCH("Essential",E185)))</formula>
    </cfRule>
    <cfRule type="containsText" dxfId="92" priority="100" operator="containsText" text="1">
      <formula>NOT(ISERROR(SEARCH("1",E185)))</formula>
    </cfRule>
  </conditionalFormatting>
  <conditionalFormatting sqref="E187:E188">
    <cfRule type="containsText" dxfId="91" priority="98" operator="containsText" text="Discretionary">
      <formula>NOT(ISERROR(SEARCH("Discretionary",E187)))</formula>
    </cfRule>
  </conditionalFormatting>
  <conditionalFormatting sqref="E189">
    <cfRule type="containsText" dxfId="90" priority="96" operator="containsText" text="Essential">
      <formula>NOT(ISERROR(SEARCH("Essential",E189)))</formula>
    </cfRule>
    <cfRule type="containsText" dxfId="89" priority="97" operator="containsText" text="1">
      <formula>NOT(ISERROR(SEARCH("1",E189)))</formula>
    </cfRule>
  </conditionalFormatting>
  <conditionalFormatting sqref="E190">
    <cfRule type="containsText" dxfId="88" priority="95" operator="containsText" text="Discretionary">
      <formula>NOT(ISERROR(SEARCH("Discretionary",E190)))</formula>
    </cfRule>
  </conditionalFormatting>
  <conditionalFormatting sqref="E191:E193">
    <cfRule type="containsText" dxfId="87" priority="90" operator="containsText" text="Essential">
      <formula>NOT(ISERROR(SEARCH("Essential",E191)))</formula>
    </cfRule>
    <cfRule type="containsText" dxfId="86" priority="91" operator="containsText" text="1">
      <formula>NOT(ISERROR(SEARCH("1",E191)))</formula>
    </cfRule>
  </conditionalFormatting>
  <conditionalFormatting sqref="E194">
    <cfRule type="containsText" dxfId="85" priority="89" operator="containsText" text="Discretionary">
      <formula>NOT(ISERROR(SEARCH("Discretionary",E194)))</formula>
    </cfRule>
  </conditionalFormatting>
  <conditionalFormatting sqref="E196:E197">
    <cfRule type="containsText" dxfId="84" priority="77" operator="containsText" text="Discretionary">
      <formula>NOT(ISERROR(SEARCH("Discretionary",E196)))</formula>
    </cfRule>
  </conditionalFormatting>
  <conditionalFormatting sqref="E197">
    <cfRule type="containsText" dxfId="83" priority="76" operator="containsText" text="Other">
      <formula>NOT(ISERROR(SEARCH("Other",E197)))</formula>
    </cfRule>
    <cfRule type="containsText" dxfId="82" priority="78" operator="containsText" text="Essential">
      <formula>NOT(ISERROR(SEARCH("Essential",E197)))</formula>
    </cfRule>
  </conditionalFormatting>
  <conditionalFormatting sqref="E198">
    <cfRule type="containsText" dxfId="81" priority="74" operator="containsText" text="Essential">
      <formula>NOT(ISERROR(SEARCH("Essential",E198)))</formula>
    </cfRule>
    <cfRule type="containsText" dxfId="80" priority="75" operator="containsText" text="1">
      <formula>NOT(ISERROR(SEARCH("1",E198)))</formula>
    </cfRule>
  </conditionalFormatting>
  <conditionalFormatting sqref="E199">
    <cfRule type="containsText" dxfId="79" priority="73" operator="containsText" text="Discretionary">
      <formula>NOT(ISERROR(SEARCH("Discretionary",E199)))</formula>
    </cfRule>
  </conditionalFormatting>
  <conditionalFormatting sqref="E200:E215">
    <cfRule type="containsText" dxfId="78" priority="61" operator="containsText" text="Essential">
      <formula>NOT(ISERROR(SEARCH("Essential",E200)))</formula>
    </cfRule>
    <cfRule type="containsText" dxfId="77" priority="62" operator="containsText" text="1">
      <formula>NOT(ISERROR(SEARCH("1",E200)))</formula>
    </cfRule>
  </conditionalFormatting>
  <conditionalFormatting sqref="E216">
    <cfRule type="containsText" dxfId="76" priority="60" operator="containsText" text="Discretionary">
      <formula>NOT(ISERROR(SEARCH("Discretionary",E216)))</formula>
    </cfRule>
  </conditionalFormatting>
  <conditionalFormatting sqref="E217">
    <cfRule type="containsText" dxfId="75" priority="57" operator="containsText" text="Essential">
      <formula>NOT(ISERROR(SEARCH("Essential",E217)))</formula>
    </cfRule>
    <cfRule type="containsText" dxfId="74" priority="58" operator="containsText" text="1">
      <formula>NOT(ISERROR(SEARCH("1",E217)))</formula>
    </cfRule>
  </conditionalFormatting>
  <conditionalFormatting sqref="E218:E219">
    <cfRule type="containsText" dxfId="73" priority="55" operator="containsText" text="Discretionary">
      <formula>NOT(ISERROR(SEARCH("Discretionary",E218)))</formula>
    </cfRule>
  </conditionalFormatting>
  <conditionalFormatting sqref="E220:E221">
    <cfRule type="containsText" dxfId="72" priority="53" operator="containsText" text="Essential">
      <formula>NOT(ISERROR(SEARCH("Essential",E220)))</formula>
    </cfRule>
    <cfRule type="containsText" dxfId="71" priority="54" operator="containsText" text="1">
      <formula>NOT(ISERROR(SEARCH("1",E220)))</formula>
    </cfRule>
  </conditionalFormatting>
  <conditionalFormatting sqref="E222">
    <cfRule type="containsText" dxfId="70" priority="52" operator="containsText" text="Discretionary">
      <formula>NOT(ISERROR(SEARCH("Discretionary",E222)))</formula>
    </cfRule>
  </conditionalFormatting>
  <conditionalFormatting sqref="E223">
    <cfRule type="containsText" dxfId="69" priority="50" operator="containsText" text="Essential">
      <formula>NOT(ISERROR(SEARCH("Essential",E223)))</formula>
    </cfRule>
    <cfRule type="containsText" dxfId="68" priority="51" operator="containsText" text="1">
      <formula>NOT(ISERROR(SEARCH("1",E223)))</formula>
    </cfRule>
  </conditionalFormatting>
  <conditionalFormatting sqref="E226:E233">
    <cfRule type="containsText" dxfId="67" priority="4" operator="containsText" text="Essential">
      <formula>NOT(ISERROR(SEARCH("Essential",E226)))</formula>
    </cfRule>
    <cfRule type="containsText" dxfId="66" priority="5" operator="containsText" text="1">
      <formula>NOT(ISERROR(SEARCH("1",E226)))</formula>
    </cfRule>
  </conditionalFormatting>
  <conditionalFormatting sqref="E234:E237">
    <cfRule type="containsText" dxfId="65" priority="2" operator="containsText" text="Discretionary">
      <formula>NOT(ISERROR(SEARCH("Discretionary",E234)))</formula>
    </cfRule>
  </conditionalFormatting>
  <conditionalFormatting sqref="E238">
    <cfRule type="containsText" dxfId="64" priority="38" operator="containsText" text="Essential">
      <formula>NOT(ISERROR(SEARCH("Essential",E238)))</formula>
    </cfRule>
    <cfRule type="containsText" dxfId="63" priority="39" operator="containsText" text="1">
      <formula>NOT(ISERROR(SEARCH("1",E238)))</formula>
    </cfRule>
  </conditionalFormatting>
  <conditionalFormatting sqref="E239:E240">
    <cfRule type="containsText" dxfId="62" priority="36" operator="containsText" text="Discretionary">
      <formula>NOT(ISERROR(SEARCH("Discretionary",E239)))</formula>
    </cfRule>
  </conditionalFormatting>
  <conditionalFormatting sqref="E241:E242">
    <cfRule type="containsText" dxfId="61" priority="27" operator="containsText" text="Essential">
      <formula>NOT(ISERROR(SEARCH("Essential",E241)))</formula>
    </cfRule>
    <cfRule type="containsText" dxfId="60" priority="28" operator="containsText" text="1">
      <formula>NOT(ISERROR(SEARCH("1",E241)))</formula>
    </cfRule>
  </conditionalFormatting>
  <conditionalFormatting sqref="E243">
    <cfRule type="containsText" dxfId="59" priority="26" operator="containsText" text="Discretionary">
      <formula>NOT(ISERROR(SEARCH("Discretionary",E243)))</formula>
    </cfRule>
  </conditionalFormatting>
  <conditionalFormatting sqref="E244:E246">
    <cfRule type="containsText" dxfId="58" priority="24" operator="containsText" text="Essential">
      <formula>NOT(ISERROR(SEARCH("Essential",E244)))</formula>
    </cfRule>
    <cfRule type="containsText" dxfId="57" priority="25" operator="containsText" text="1">
      <formula>NOT(ISERROR(SEARCH("1",E244)))</formula>
    </cfRule>
  </conditionalFormatting>
  <conditionalFormatting sqref="E247:E250">
    <cfRule type="containsText" dxfId="56" priority="23" operator="containsText" text="Discretionary">
      <formula>NOT(ISERROR(SEARCH("Discretionary",E247)))</formula>
    </cfRule>
  </conditionalFormatting>
  <conditionalFormatting sqref="E251:E252">
    <cfRule type="containsText" dxfId="55" priority="29" operator="containsText" text="Other">
      <formula>NOT(ISERROR(SEARCH("Other",E251)))</formula>
    </cfRule>
    <cfRule type="containsText" dxfId="54" priority="30" operator="containsText" text="Discretionary">
      <formula>NOT(ISERROR(SEARCH("Discretionary",E251)))</formula>
    </cfRule>
    <cfRule type="containsText" dxfId="53" priority="31" operator="containsText" text="Essential">
      <formula>NOT(ISERROR(SEARCH("Essential",E251)))</formula>
    </cfRule>
  </conditionalFormatting>
  <conditionalFormatting sqref="E253:E257">
    <cfRule type="containsText" dxfId="52" priority="21" operator="containsText" text="Discretionary">
      <formula>NOT(ISERROR(SEARCH("Discretionary",E253)))</formula>
    </cfRule>
  </conditionalFormatting>
  <conditionalFormatting sqref="E261:E262">
    <cfRule type="containsText" dxfId="51" priority="228" operator="containsText" text="Other">
      <formula>NOT(ISERROR(SEARCH("Other",E261)))</formula>
    </cfRule>
    <cfRule type="containsText" dxfId="50" priority="229" operator="containsText" text="Discretionary">
      <formula>NOT(ISERROR(SEARCH("Discretionary",E261)))</formula>
    </cfRule>
    <cfRule type="containsText" dxfId="49" priority="230" operator="containsText" text="Essential">
      <formula>NOT(ISERROR(SEARCH("Essential",E261)))</formula>
    </cfRule>
  </conditionalFormatting>
  <conditionalFormatting sqref="E262:E263">
    <cfRule type="containsText" dxfId="48" priority="226" operator="containsText" text="Essential">
      <formula>NOT(ISERROR(SEARCH("Essential",E262)))</formula>
    </cfRule>
    <cfRule type="containsText" dxfId="47" priority="227" operator="containsText" text="1">
      <formula>NOT(ISERROR(SEARCH("1",E262)))</formula>
    </cfRule>
  </conditionalFormatting>
  <conditionalFormatting sqref="F176:H176 L176:Q176">
    <cfRule type="containsText" dxfId="46" priority="170" operator="containsText" text="x">
      <formula>NOT(ISERROR(SEARCH("x",F176)))</formula>
    </cfRule>
  </conditionalFormatting>
  <conditionalFormatting sqref="F6:Q9">
    <cfRule type="containsText" dxfId="45" priority="286" operator="containsText" text="x">
      <formula>NOT(ISERROR(SEARCH("x",F6)))</formula>
    </cfRule>
  </conditionalFormatting>
  <conditionalFormatting sqref="F10:Q13 F15:Q18 F34:Q37 F51:Q54 F58:Q61 F69:Q72 F77:Q80 F93:Q96 F100:Q103 F111:Q114 F120:Q123 F133:Q136 F151:Q161 F166:Q168 F172:Q175 F255:H255 L255:Q255 F264:Q535">
    <cfRule type="containsText" dxfId="44" priority="291" operator="containsText" text="x">
      <formula>NOT(ISERROR(SEARCH("x",F10)))</formula>
    </cfRule>
  </conditionalFormatting>
  <conditionalFormatting sqref="F14:Q14">
    <cfRule type="containsText" dxfId="43" priority="283" operator="containsText" text="x">
      <formula>NOT(ISERROR(SEARCH("x",F14)))</formula>
    </cfRule>
  </conditionalFormatting>
  <conditionalFormatting sqref="F19:Q29">
    <cfRule type="containsText" dxfId="42" priority="268" operator="containsText" text="x">
      <formula>NOT(ISERROR(SEARCH("x",F19)))</formula>
    </cfRule>
  </conditionalFormatting>
  <conditionalFormatting sqref="F29:Q32">
    <cfRule type="containsText" dxfId="41" priority="277" operator="containsText" text="x">
      <formula>NOT(ISERROR(SEARCH("x",F29)))</formula>
    </cfRule>
  </conditionalFormatting>
  <conditionalFormatting sqref="F33:Q33">
    <cfRule type="containsText" dxfId="40" priority="264" operator="containsText" text="x">
      <formula>NOT(ISERROR(SEARCH("x",F33)))</formula>
    </cfRule>
  </conditionalFormatting>
  <conditionalFormatting sqref="F38:Q50">
    <cfRule type="containsText" dxfId="39" priority="256" operator="containsText" text="x">
      <formula>NOT(ISERROR(SEARCH("x",F38)))</formula>
    </cfRule>
  </conditionalFormatting>
  <conditionalFormatting sqref="F55:Q57">
    <cfRule type="containsText" dxfId="38" priority="250" operator="containsText" text="x">
      <formula>NOT(ISERROR(SEARCH("x",F55)))</formula>
    </cfRule>
  </conditionalFormatting>
  <conditionalFormatting sqref="F62:Q68">
    <cfRule type="containsText" dxfId="37" priority="246" operator="containsText" text="x">
      <formula>NOT(ISERROR(SEARCH("x",F62)))</formula>
    </cfRule>
  </conditionalFormatting>
  <conditionalFormatting sqref="F73:Q76">
    <cfRule type="containsText" dxfId="36" priority="242" operator="containsText" text="x">
      <formula>NOT(ISERROR(SEARCH("x",F73)))</formula>
    </cfRule>
  </conditionalFormatting>
  <conditionalFormatting sqref="F81:Q92 F137:Q150 F177:Q253 F254">
    <cfRule type="containsText" dxfId="35" priority="20" operator="containsText" text="x">
      <formula>NOT(ISERROR(SEARCH("x",F81)))</formula>
    </cfRule>
  </conditionalFormatting>
  <conditionalFormatting sqref="F97:Q99">
    <cfRule type="containsText" dxfId="34" priority="17" operator="containsText" text="x">
      <formula>NOT(ISERROR(SEARCH("x",F97)))</formula>
    </cfRule>
  </conditionalFormatting>
  <conditionalFormatting sqref="F104:Q110">
    <cfRule type="containsText" dxfId="33" priority="225" operator="containsText" text="x">
      <formula>NOT(ISERROR(SEARCH("x",F104)))</formula>
    </cfRule>
  </conditionalFormatting>
  <conditionalFormatting sqref="F115:Q119">
    <cfRule type="containsText" dxfId="32" priority="217" operator="containsText" text="x">
      <formula>NOT(ISERROR(SEARCH("x",F115)))</formula>
    </cfRule>
  </conditionalFormatting>
  <conditionalFormatting sqref="F124:Q132">
    <cfRule type="containsText" dxfId="31" priority="209" operator="containsText" text="x">
      <formula>NOT(ISERROR(SEARCH("x",F124)))</formula>
    </cfRule>
  </conditionalFormatting>
  <conditionalFormatting sqref="F162:Q165">
    <cfRule type="containsText" dxfId="30" priority="176" operator="containsText" text="x">
      <formula>NOT(ISERROR(SEARCH("x",F162)))</formula>
    </cfRule>
  </conditionalFormatting>
  <conditionalFormatting sqref="F169:Q171">
    <cfRule type="containsText" dxfId="29" priority="173" operator="containsText" text="x">
      <formula>NOT(ISERROR(SEARCH("x",F169)))</formula>
    </cfRule>
  </conditionalFormatting>
  <conditionalFormatting sqref="F256:Q260">
    <cfRule type="containsText" dxfId="28" priority="1" operator="containsText" text="x">
      <formula>NOT(ISERROR(SEARCH("x",F256)))</formula>
    </cfRule>
  </conditionalFormatting>
  <conditionalFormatting sqref="F261:Q263">
    <cfRule type="containsText" dxfId="27" priority="231" operator="containsText" text="x">
      <formula>NOT(ISERROR(SEARCH("x",F261)))</formula>
    </cfRule>
  </conditionalFormatting>
  <conditionalFormatting sqref="G254:Q254">
    <cfRule type="containsText" dxfId="26" priority="164" operator="containsText" text="x">
      <formula>NOT(ISERROR(SEARCH("x",G254)))</formula>
    </cfRule>
  </conditionalFormatting>
  <dataValidations count="1">
    <dataValidation type="list" allowBlank="1" showInputMessage="1" showErrorMessage="1" sqref="E33 E38:E50 E55:E57 E62:E63 E65:E68 E73:E74" xr:uid="{5EDCAA1D-B7CA-4790-A2FA-2BB850664A97}">
      <formula1>Cats</formula1>
    </dataValidation>
  </dataValidations>
  <pageMargins left="0.7" right="0.7" top="0.75" bottom="0.75" header="0.3" footer="0.3"/>
  <pageSetup paperSize="9" scale="48" fitToHeight="0" orientation="landscape" r:id="rId1"/>
  <headerFooter>
    <oddFooter>&amp;C&amp;P</oddFooter>
  </headerFooter>
  <legacyDrawing r:id="rId2"/>
  <tableParts count="19">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C08B-4B51-4322-8CC6-2D5C1BB27D51}">
  <sheetPr>
    <pageSetUpPr fitToPage="1"/>
  </sheetPr>
  <dimension ref="A1:R119"/>
  <sheetViews>
    <sheetView view="pageLayout" topLeftCell="A10" zoomScaleNormal="100" workbookViewId="0">
      <selection activeCell="X20" sqref="X20"/>
    </sheetView>
  </sheetViews>
  <sheetFormatPr defaultRowHeight="15" x14ac:dyDescent="0.25"/>
  <cols>
    <col min="1" max="1" width="17.42578125" style="2" customWidth="1"/>
    <col min="2" max="2" width="11.140625" style="2" hidden="1" customWidth="1"/>
    <col min="3" max="3" width="25" style="5" customWidth="1"/>
    <col min="4" max="4" width="37.42578125" style="5" customWidth="1"/>
    <col min="5" max="5" width="13.7109375" style="2" bestFit="1" customWidth="1"/>
    <col min="6" max="16" width="9.140625" style="2"/>
    <col min="17" max="17" width="9.140625" style="5" customWidth="1"/>
    <col min="18" max="18" width="68.5703125" style="5" customWidth="1"/>
  </cols>
  <sheetData>
    <row r="1" spans="1:18" ht="31.5" x14ac:dyDescent="0.5">
      <c r="A1" s="57" t="s">
        <v>88</v>
      </c>
      <c r="B1" s="57"/>
      <c r="C1" s="57"/>
      <c r="D1" s="57"/>
      <c r="E1" s="57"/>
      <c r="F1" s="57"/>
      <c r="G1" s="57"/>
      <c r="H1" s="57"/>
      <c r="I1" s="57"/>
      <c r="J1" s="57"/>
      <c r="K1" s="57"/>
      <c r="L1" s="57"/>
      <c r="M1" s="57"/>
      <c r="N1" s="57"/>
      <c r="O1" s="57"/>
      <c r="P1" s="57"/>
      <c r="Q1" s="57"/>
      <c r="R1" s="57"/>
    </row>
    <row r="2" spans="1:18" ht="49.5" customHeight="1" x14ac:dyDescent="0.25">
      <c r="A2" s="59" t="s">
        <v>152</v>
      </c>
      <c r="B2" s="59"/>
      <c r="C2" s="59"/>
      <c r="D2" s="59"/>
      <c r="E2" s="59"/>
      <c r="F2" s="59"/>
      <c r="G2" s="59"/>
      <c r="H2" s="59"/>
      <c r="I2" s="59"/>
      <c r="J2" s="59"/>
      <c r="K2" s="59"/>
      <c r="L2" s="59"/>
      <c r="M2" s="59"/>
      <c r="N2" s="59"/>
      <c r="O2" s="59"/>
      <c r="P2" s="59"/>
      <c r="Q2" s="59"/>
      <c r="R2" s="59"/>
    </row>
    <row r="3" spans="1:18" x14ac:dyDescent="0.25">
      <c r="A3" s="58" t="s">
        <v>91</v>
      </c>
      <c r="B3" s="58"/>
      <c r="C3" s="58"/>
      <c r="D3" s="58"/>
      <c r="E3" s="58"/>
      <c r="F3" s="58"/>
      <c r="G3" s="58"/>
      <c r="H3" s="58"/>
      <c r="I3" s="58"/>
      <c r="J3" s="58"/>
      <c r="K3" s="58"/>
      <c r="L3" s="58"/>
      <c r="M3" s="58"/>
      <c r="N3" s="58"/>
      <c r="O3" s="58"/>
      <c r="P3" s="58"/>
      <c r="Q3" s="58"/>
      <c r="R3" s="58"/>
    </row>
    <row r="4" spans="1:18" x14ac:dyDescent="0.25">
      <c r="D4" s="42" t="s">
        <v>1538</v>
      </c>
    </row>
    <row r="5" spans="1:18" x14ac:dyDescent="0.25">
      <c r="A5" s="4" t="s">
        <v>120</v>
      </c>
      <c r="B5" s="4"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ht="30" x14ac:dyDescent="0.25">
      <c r="A6" s="2" t="str">
        <f>"PATH"&amp;TEXT(Table66[[#This Row],[Count]],"000")&amp;"."&amp;IF(Table66[[#This Row],[Category]]="Essential","E",IF(Table66[[#This Row],[Category]]="Discretionary","D","O"))</f>
        <v>PATH001.E</v>
      </c>
      <c r="B6" s="2">
        <f>ROW()-ROW(Table66[[#Headers],[Count]])</f>
        <v>1</v>
      </c>
      <c r="C6" s="5" t="s">
        <v>91</v>
      </c>
      <c r="D6" s="5" t="s">
        <v>1539</v>
      </c>
      <c r="E6" s="2" t="s">
        <v>13</v>
      </c>
      <c r="L6" s="2" t="s">
        <v>127</v>
      </c>
      <c r="Q6" s="2"/>
    </row>
    <row r="7" spans="1:18" ht="45" x14ac:dyDescent="0.25">
      <c r="A7" s="2" t="str">
        <f>"PATH"&amp;TEXT(Table66[[#This Row],[Count]],"000")&amp;"."&amp;IF(Table66[[#This Row],[Category]]="Essential","E",IF(Table66[[#This Row],[Category]]="Discretionary","D","O"))</f>
        <v>PATH002.E</v>
      </c>
      <c r="B7" s="2">
        <f>ROW()-ROW(Table66[[#Headers],[Count]])</f>
        <v>2</v>
      </c>
      <c r="C7" s="5" t="s">
        <v>91</v>
      </c>
      <c r="D7" s="5" t="s">
        <v>1540</v>
      </c>
      <c r="E7" s="2" t="s">
        <v>13</v>
      </c>
      <c r="J7" s="2" t="s">
        <v>127</v>
      </c>
      <c r="K7" s="2" t="s">
        <v>127</v>
      </c>
      <c r="L7" s="2" t="s">
        <v>127</v>
      </c>
      <c r="M7" s="2" t="s">
        <v>127</v>
      </c>
      <c r="N7" s="2" t="s">
        <v>127</v>
      </c>
      <c r="O7" s="2" t="s">
        <v>127</v>
      </c>
      <c r="P7" s="2" t="s">
        <v>127</v>
      </c>
      <c r="Q7" s="2" t="s">
        <v>127</v>
      </c>
    </row>
    <row r="8" spans="1:18" x14ac:dyDescent="0.25">
      <c r="A8" s="2" t="str">
        <f>"PATH"&amp;TEXT(Table66[[#This Row],[Count]],"000")&amp;"."&amp;IF(Table66[[#This Row],[Category]]="Essential","E",IF(Table66[[#This Row],[Category]]="Discretionary","D","O"))</f>
        <v>PATH003.E</v>
      </c>
      <c r="B8" s="2">
        <f>ROW()-ROW(Table66[[#Headers],[Count]])</f>
        <v>3</v>
      </c>
      <c r="C8" s="5" t="s">
        <v>91</v>
      </c>
      <c r="D8" s="5" t="s">
        <v>1541</v>
      </c>
      <c r="E8" s="2" t="s">
        <v>13</v>
      </c>
      <c r="O8" s="2" t="s">
        <v>127</v>
      </c>
      <c r="P8" s="2" t="s">
        <v>127</v>
      </c>
      <c r="Q8" s="2"/>
    </row>
    <row r="9" spans="1:18" x14ac:dyDescent="0.25">
      <c r="A9" s="2" t="str">
        <f>"PATH"&amp;TEXT(Table66[[#This Row],[Count]],"000")&amp;"."&amp;IF(Table66[[#This Row],[Category]]="Essential","E",IF(Table66[[#This Row],[Category]]="Discretionary","D","O"))</f>
        <v>PATH004.E</v>
      </c>
      <c r="B9" s="2">
        <f>ROW()-ROW(Table66[[#Headers],[Count]])</f>
        <v>4</v>
      </c>
      <c r="C9" s="5" t="s">
        <v>91</v>
      </c>
      <c r="D9" s="5" t="s">
        <v>1542</v>
      </c>
      <c r="E9" s="2" t="s">
        <v>13</v>
      </c>
      <c r="J9" s="2" t="s">
        <v>127</v>
      </c>
      <c r="K9" s="2" t="s">
        <v>127</v>
      </c>
      <c r="L9" s="2" t="s">
        <v>127</v>
      </c>
      <c r="M9" s="2" t="s">
        <v>127</v>
      </c>
      <c r="N9" s="2" t="s">
        <v>127</v>
      </c>
      <c r="O9" s="2" t="s">
        <v>127</v>
      </c>
      <c r="P9" s="2" t="s">
        <v>127</v>
      </c>
      <c r="Q9" s="2" t="s">
        <v>127</v>
      </c>
    </row>
    <row r="10" spans="1:18" ht="45" x14ac:dyDescent="0.25">
      <c r="A10" s="2" t="str">
        <f>"PATH"&amp;TEXT(Table66[[#This Row],[Count]],"000")&amp;"."&amp;IF(Table66[[#This Row],[Category]]="Essential","E",IF(Table66[[#This Row],[Category]]="Discretionary","D","O"))</f>
        <v>PATH005.E</v>
      </c>
      <c r="B10" s="2">
        <f>ROW()-ROW(Table66[[#Headers],[Count]])</f>
        <v>5</v>
      </c>
      <c r="C10" s="5" t="s">
        <v>91</v>
      </c>
      <c r="D10" s="5" t="s">
        <v>1543</v>
      </c>
      <c r="E10" s="2" t="s">
        <v>13</v>
      </c>
      <c r="L10" s="2" t="s">
        <v>127</v>
      </c>
      <c r="M10" s="2" t="s">
        <v>127</v>
      </c>
      <c r="N10" s="2" t="s">
        <v>127</v>
      </c>
      <c r="O10" s="2" t="s">
        <v>127</v>
      </c>
      <c r="Q10" s="2"/>
    </row>
    <row r="11" spans="1:18" x14ac:dyDescent="0.25">
      <c r="A11" s="2" t="str">
        <f>"PATH"&amp;TEXT(Table66[[#This Row],[Count]],"000")&amp;"."&amp;IF(Table66[[#This Row],[Category]]="Essential","E",IF(Table66[[#This Row],[Category]]="Discretionary","D","O"))</f>
        <v>PATH006.E</v>
      </c>
      <c r="B11" s="2">
        <f>ROW()-ROW(Table66[[#Headers],[Count]])</f>
        <v>6</v>
      </c>
      <c r="C11" s="5" t="s">
        <v>91</v>
      </c>
      <c r="D11" s="5" t="s">
        <v>1544</v>
      </c>
      <c r="E11" s="2" t="s">
        <v>13</v>
      </c>
      <c r="L11" s="2" t="s">
        <v>127</v>
      </c>
      <c r="M11" s="2" t="s">
        <v>127</v>
      </c>
      <c r="N11" s="2" t="s">
        <v>127</v>
      </c>
      <c r="Q11" s="2"/>
    </row>
    <row r="12" spans="1:18" ht="30" x14ac:dyDescent="0.25">
      <c r="A12" s="2" t="str">
        <f>"PATH"&amp;TEXT(Table66[[#This Row],[Count]],"000")&amp;"."&amp;IF(Table66[[#This Row],[Category]]="Essential","E",IF(Table66[[#This Row],[Category]]="Discretionary","D","O"))</f>
        <v>PATH007.D</v>
      </c>
      <c r="B12" s="2">
        <f>ROW()-ROW(Table66[[#Headers],[Count]])</f>
        <v>7</v>
      </c>
      <c r="C12" s="5" t="s">
        <v>91</v>
      </c>
      <c r="D12" s="5" t="s">
        <v>1545</v>
      </c>
      <c r="E12" s="2" t="s">
        <v>18</v>
      </c>
      <c r="N12" s="2" t="s">
        <v>127</v>
      </c>
      <c r="O12" s="2" t="s">
        <v>127</v>
      </c>
      <c r="P12" s="2" t="s">
        <v>127</v>
      </c>
      <c r="Q12" s="2"/>
      <c r="R12" s="5" t="s">
        <v>1546</v>
      </c>
    </row>
    <row r="13" spans="1:18" x14ac:dyDescent="0.25">
      <c r="Q13" s="2"/>
    </row>
    <row r="14" spans="1:18" x14ac:dyDescent="0.25">
      <c r="A14" s="58" t="s">
        <v>1547</v>
      </c>
      <c r="B14" s="58"/>
      <c r="C14" s="58"/>
      <c r="D14" s="58"/>
      <c r="E14" s="58"/>
      <c r="F14" s="58"/>
      <c r="G14" s="58"/>
      <c r="H14" s="58"/>
      <c r="I14" s="58"/>
      <c r="J14" s="58"/>
      <c r="K14" s="58"/>
      <c r="L14" s="58"/>
      <c r="M14" s="58"/>
      <c r="N14" s="58"/>
      <c r="O14" s="58"/>
      <c r="P14" s="58"/>
      <c r="Q14" s="58"/>
      <c r="R14" s="58"/>
    </row>
    <row r="16" spans="1:18" x14ac:dyDescent="0.25">
      <c r="A16" s="6" t="s">
        <v>120</v>
      </c>
      <c r="B16" s="6" t="s">
        <v>121</v>
      </c>
      <c r="C16" s="7" t="s">
        <v>122</v>
      </c>
      <c r="D16" s="7" t="s">
        <v>123</v>
      </c>
      <c r="E16" s="6" t="s">
        <v>8</v>
      </c>
      <c r="F16" s="6" t="s">
        <v>124</v>
      </c>
      <c r="G16" s="6" t="s">
        <v>154</v>
      </c>
      <c r="H16" s="6" t="s">
        <v>155</v>
      </c>
      <c r="I16" s="6" t="s">
        <v>156</v>
      </c>
      <c r="J16" s="6" t="s">
        <v>157</v>
      </c>
      <c r="K16" s="6" t="s">
        <v>158</v>
      </c>
      <c r="L16" s="6" t="s">
        <v>159</v>
      </c>
      <c r="M16" s="6" t="s">
        <v>160</v>
      </c>
      <c r="N16" s="6" t="s">
        <v>161</v>
      </c>
      <c r="O16" s="6" t="s">
        <v>162</v>
      </c>
      <c r="P16" s="6" t="s">
        <v>163</v>
      </c>
      <c r="Q16" s="6" t="s">
        <v>164</v>
      </c>
      <c r="R16" s="7" t="s">
        <v>125</v>
      </c>
    </row>
    <row r="17" spans="1:18" ht="42" customHeight="1" x14ac:dyDescent="0.25">
      <c r="A17" s="5" t="str">
        <f>"PATH"&amp;TEXT(Table67[[#This Row],[Count]],"000")&amp;"."&amp;IF(Table67[[#This Row],[Category]]="Essential","E",IF(Table67[[#This Row],[Category]]="Discretionary","D","O"))</f>
        <v>PATH008.E</v>
      </c>
      <c r="B17" s="5">
        <f>MAX(Table66[Count])+ROWS(INDEX(Table67[Count],1):Table67[[#This Row],[Count]])</f>
        <v>8</v>
      </c>
      <c r="C17" s="5" t="s">
        <v>1547</v>
      </c>
      <c r="D17" s="5" t="s">
        <v>1548</v>
      </c>
      <c r="E17" s="5" t="s">
        <v>13</v>
      </c>
      <c r="F17" s="5"/>
      <c r="G17" s="5"/>
      <c r="H17" s="5"/>
      <c r="I17" s="5"/>
      <c r="J17" s="5" t="s">
        <v>127</v>
      </c>
      <c r="K17" s="5" t="s">
        <v>127</v>
      </c>
      <c r="L17" s="5"/>
      <c r="M17" s="5"/>
      <c r="N17" s="5"/>
      <c r="O17" s="5"/>
      <c r="P17" s="5"/>
    </row>
    <row r="18" spans="1:18" ht="42" customHeight="1" x14ac:dyDescent="0.25">
      <c r="A18" s="5" t="str">
        <f>"PATH"&amp;TEXT(Table67[[#This Row],[Count]],"000")&amp;"."&amp;IF(Table67[[#This Row],[Category]]="Essential","E",IF(Table67[[#This Row],[Category]]="Discretionary","D","O"))</f>
        <v>PATH009.D</v>
      </c>
      <c r="B18" s="5">
        <f>MAX(Table66[Count])+ROWS(INDEX(Table67[Count],1):Table67[[#This Row],[Count]])</f>
        <v>9</v>
      </c>
      <c r="C18" s="5" t="s">
        <v>1547</v>
      </c>
      <c r="D18" s="5" t="s">
        <v>1549</v>
      </c>
      <c r="E18" s="5" t="s">
        <v>18</v>
      </c>
      <c r="F18" s="5" t="s">
        <v>127</v>
      </c>
      <c r="G18" s="5"/>
      <c r="H18" s="5"/>
      <c r="I18" s="5"/>
      <c r="J18" s="5"/>
      <c r="K18" s="5"/>
      <c r="L18" s="5"/>
      <c r="M18" s="5"/>
      <c r="N18" s="5"/>
      <c r="O18" s="5"/>
      <c r="P18" s="5"/>
    </row>
    <row r="19" spans="1:18" ht="42" customHeight="1" x14ac:dyDescent="0.25">
      <c r="A19" s="5" t="str">
        <f>"PATH"&amp;TEXT(Table67[[#This Row],[Count]],"000")&amp;"."&amp;IF(Table67[[#This Row],[Category]]="Essential","E",IF(Table67[[#This Row],[Category]]="Discretionary","D","O"))</f>
        <v>PATH010.E</v>
      </c>
      <c r="B19" s="5">
        <f>MAX(Table66[Count])+ROWS(INDEX(Table67[Count],1):Table67[[#This Row],[Count]])</f>
        <v>10</v>
      </c>
      <c r="C19" s="5" t="s">
        <v>1547</v>
      </c>
      <c r="D19" s="5" t="s">
        <v>1550</v>
      </c>
      <c r="E19" s="5" t="s">
        <v>13</v>
      </c>
      <c r="F19" s="5"/>
      <c r="G19" s="5"/>
      <c r="H19" s="5"/>
      <c r="I19" s="5"/>
      <c r="J19" s="5" t="s">
        <v>127</v>
      </c>
      <c r="K19" s="5" t="s">
        <v>127</v>
      </c>
      <c r="L19" s="5" t="s">
        <v>127</v>
      </c>
      <c r="M19" s="5" t="s">
        <v>127</v>
      </c>
      <c r="N19" s="5" t="s">
        <v>127</v>
      </c>
      <c r="O19" s="5" t="s">
        <v>127</v>
      </c>
      <c r="P19" s="5" t="s">
        <v>127</v>
      </c>
      <c r="Q19" s="5" t="s">
        <v>127</v>
      </c>
    </row>
    <row r="20" spans="1:18" ht="42" customHeight="1" x14ac:dyDescent="0.25">
      <c r="A20" s="5" t="str">
        <f>"PATH"&amp;TEXT(Table67[[#This Row],[Count]],"000")&amp;"."&amp;IF(Table67[[#This Row],[Category]]="Essential","E",IF(Table67[[#This Row],[Category]]="Discretionary","D","O"))</f>
        <v>PATH011.E</v>
      </c>
      <c r="B20" s="5">
        <f>MAX(Table66[Count])+ROWS(INDEX(Table67[Count],1):Table67[[#This Row],[Count]])</f>
        <v>11</v>
      </c>
      <c r="C20" s="5" t="s">
        <v>1547</v>
      </c>
      <c r="D20" s="5" t="s">
        <v>1551</v>
      </c>
      <c r="E20" s="5" t="s">
        <v>13</v>
      </c>
      <c r="F20" s="5" t="s">
        <v>127</v>
      </c>
      <c r="G20" s="5"/>
      <c r="H20" s="5"/>
      <c r="I20" s="5"/>
      <c r="J20" s="5"/>
      <c r="K20" s="5"/>
      <c r="L20" s="5"/>
      <c r="M20" s="5"/>
      <c r="N20" s="5"/>
      <c r="O20" s="5"/>
      <c r="P20" s="5"/>
    </row>
    <row r="21" spans="1:18" ht="42" customHeight="1" x14ac:dyDescent="0.25">
      <c r="A21" s="5" t="str">
        <f>"PATH"&amp;TEXT(Table67[[#This Row],[Count]],"000")&amp;"."&amp;IF(Table67[[#This Row],[Category]]="Essential","E",IF(Table67[[#This Row],[Category]]="Discretionary","D","O"))</f>
        <v>PATH012.E</v>
      </c>
      <c r="B21" s="5">
        <f>MAX(Table66[Count])+ROWS(INDEX(Table67[Count],1):Table67[[#This Row],[Count]])</f>
        <v>12</v>
      </c>
      <c r="C21" s="5" t="s">
        <v>1547</v>
      </c>
      <c r="D21" s="5" t="s">
        <v>1552</v>
      </c>
      <c r="E21" s="5" t="s">
        <v>13</v>
      </c>
      <c r="F21" s="5"/>
      <c r="G21" s="5"/>
      <c r="H21" s="5"/>
      <c r="I21" s="5"/>
      <c r="J21" s="5" t="s">
        <v>127</v>
      </c>
      <c r="K21" s="5" t="s">
        <v>127</v>
      </c>
      <c r="L21" s="5" t="s">
        <v>127</v>
      </c>
      <c r="M21" s="5" t="s">
        <v>127</v>
      </c>
      <c r="N21" s="5" t="s">
        <v>127</v>
      </c>
      <c r="O21" s="5" t="s">
        <v>127</v>
      </c>
      <c r="P21" s="5" t="s">
        <v>127</v>
      </c>
      <c r="Q21" s="5" t="s">
        <v>127</v>
      </c>
    </row>
    <row r="22" spans="1:18" ht="42" customHeight="1" x14ac:dyDescent="0.25">
      <c r="A22" s="5" t="str">
        <f>"PATH"&amp;TEXT(Table67[[#This Row],[Count]],"000")&amp;"."&amp;IF(Table67[[#This Row],[Category]]="Essential","E",IF(Table67[[#This Row],[Category]]="Discretionary","D","O"))</f>
        <v>PATH013.E</v>
      </c>
      <c r="B22" s="5">
        <f>MAX(Table66[Count])+ROWS(INDEX(Table67[Count],1):Table67[[#This Row],[Count]])</f>
        <v>13</v>
      </c>
      <c r="C22" s="5" t="s">
        <v>1547</v>
      </c>
      <c r="D22" s="5" t="s">
        <v>1553</v>
      </c>
      <c r="E22" s="5" t="s">
        <v>13</v>
      </c>
      <c r="F22" s="5" t="s">
        <v>127</v>
      </c>
      <c r="G22" s="5"/>
      <c r="H22" s="5"/>
      <c r="I22" s="5"/>
      <c r="J22" s="5"/>
      <c r="K22" s="5"/>
      <c r="L22" s="5"/>
      <c r="M22" s="5"/>
      <c r="N22" s="5"/>
      <c r="O22" s="5"/>
      <c r="P22" s="5"/>
    </row>
    <row r="23" spans="1:18" ht="42" customHeight="1" x14ac:dyDescent="0.25">
      <c r="A23" s="5" t="s">
        <v>1554</v>
      </c>
      <c r="B23" s="5">
        <v>14</v>
      </c>
      <c r="C23" s="5" t="s">
        <v>1547</v>
      </c>
      <c r="D23" s="5" t="s">
        <v>1555</v>
      </c>
      <c r="E23" s="5" t="s">
        <v>18</v>
      </c>
      <c r="F23" s="5"/>
      <c r="G23" s="5"/>
      <c r="H23" s="5"/>
      <c r="I23" s="5"/>
      <c r="J23" s="5"/>
      <c r="K23" s="5"/>
      <c r="L23" s="5"/>
      <c r="M23" s="5"/>
      <c r="N23" s="5"/>
      <c r="O23" s="5"/>
      <c r="P23" s="5"/>
      <c r="R23" s="54" t="s">
        <v>1556</v>
      </c>
    </row>
    <row r="24" spans="1:18" s="5" customFormat="1" x14ac:dyDescent="0.25">
      <c r="A24" s="58" t="s">
        <v>99</v>
      </c>
      <c r="B24" s="58"/>
      <c r="C24" s="58"/>
      <c r="D24" s="58"/>
      <c r="E24" s="58"/>
      <c r="F24" s="58"/>
      <c r="G24" s="58"/>
      <c r="H24" s="58"/>
      <c r="I24" s="58"/>
      <c r="J24" s="58"/>
      <c r="K24" s="58"/>
      <c r="L24" s="58"/>
      <c r="M24" s="58"/>
      <c r="N24" s="58"/>
      <c r="O24" s="58"/>
      <c r="P24" s="58"/>
      <c r="Q24" s="58"/>
      <c r="R24" s="58"/>
    </row>
    <row r="25" spans="1:18" s="5" customFormat="1" x14ac:dyDescent="0.25">
      <c r="A25" s="2"/>
      <c r="B25" s="2"/>
      <c r="E25" s="2"/>
      <c r="F25" s="2"/>
      <c r="G25" s="2"/>
      <c r="H25" s="2"/>
      <c r="I25" s="2"/>
      <c r="J25" s="2"/>
      <c r="K25" s="2"/>
      <c r="L25" s="2"/>
      <c r="M25" s="2"/>
      <c r="N25" s="2"/>
      <c r="O25" s="2"/>
      <c r="P25" s="2"/>
    </row>
    <row r="26" spans="1:18" s="5" customFormat="1" x14ac:dyDescent="0.25">
      <c r="A26" s="6" t="s">
        <v>120</v>
      </c>
      <c r="B26" s="6" t="s">
        <v>121</v>
      </c>
      <c r="C26" s="7" t="s">
        <v>122</v>
      </c>
      <c r="D26" s="7" t="s">
        <v>123</v>
      </c>
      <c r="E26" s="6" t="s">
        <v>8</v>
      </c>
      <c r="F26" s="6" t="s">
        <v>124</v>
      </c>
      <c r="G26" s="6" t="s">
        <v>154</v>
      </c>
      <c r="H26" s="6" t="s">
        <v>155</v>
      </c>
      <c r="I26" s="6" t="s">
        <v>156</v>
      </c>
      <c r="J26" s="6" t="s">
        <v>157</v>
      </c>
      <c r="K26" s="6" t="s">
        <v>158</v>
      </c>
      <c r="L26" s="6" t="s">
        <v>159</v>
      </c>
      <c r="M26" s="6" t="s">
        <v>160</v>
      </c>
      <c r="N26" s="6" t="s">
        <v>161</v>
      </c>
      <c r="O26" s="6" t="s">
        <v>162</v>
      </c>
      <c r="P26" s="6" t="s">
        <v>163</v>
      </c>
      <c r="Q26" s="6" t="s">
        <v>164</v>
      </c>
      <c r="R26" s="7" t="s">
        <v>125</v>
      </c>
    </row>
    <row r="27" spans="1:18" s="5" customFormat="1" ht="30" x14ac:dyDescent="0.25">
      <c r="A27" s="5" t="str">
        <f>"PATH"&amp;TEXT(Table68[[#This Row],[Count]],"000")&amp;"."&amp;IF(Table68[[#This Row],[Category]]="Essential","E",IF(Table68[[#This Row],[Category]]="Discretionary","D","O"))</f>
        <v>PATH015.E</v>
      </c>
      <c r="B27" s="5">
        <f>MAX(Table67[Count])+ROWS(INDEX(Table68[Count],1):Table68[[#This Row],[Count]])</f>
        <v>15</v>
      </c>
      <c r="C27" s="5" t="s">
        <v>99</v>
      </c>
      <c r="D27" s="5" t="s">
        <v>1557</v>
      </c>
      <c r="E27" s="5" t="s">
        <v>13</v>
      </c>
      <c r="M27" s="5" t="s">
        <v>127</v>
      </c>
      <c r="N27" s="5" t="s">
        <v>127</v>
      </c>
    </row>
    <row r="28" spans="1:18" s="5" customFormat="1" ht="30" x14ac:dyDescent="0.25">
      <c r="A28" s="5" t="str">
        <f>"PATH"&amp;TEXT(Table68[[#This Row],[Count]],"000")&amp;"."&amp;IF(Table68[[#This Row],[Category]]="Essential","E",IF(Table68[[#This Row],[Category]]="Discretionary","D","O"))</f>
        <v>PATH016.D</v>
      </c>
      <c r="B28" s="5">
        <f>MAX(Table67[Count])+ROWS(INDEX(Table68[Count],1):Table68[[#This Row],[Count]])</f>
        <v>16</v>
      </c>
      <c r="C28" s="5" t="s">
        <v>99</v>
      </c>
      <c r="D28" s="5" t="s">
        <v>1558</v>
      </c>
      <c r="E28" s="5" t="s">
        <v>18</v>
      </c>
      <c r="M28" s="5" t="s">
        <v>127</v>
      </c>
      <c r="N28" s="5" t="s">
        <v>127</v>
      </c>
    </row>
    <row r="29" spans="1:18" ht="30" x14ac:dyDescent="0.25">
      <c r="A29" s="5" t="str">
        <f>"PATH"&amp;TEXT(Table68[[#This Row],[Count]],"000")&amp;"."&amp;IF(Table68[[#This Row],[Category]]="Essential","E",IF(Table68[[#This Row],[Category]]="Discretionary","D","O"))</f>
        <v>PATH017.E</v>
      </c>
      <c r="B29" s="5">
        <f>MAX(Table67[Count])+ROWS(INDEX(Table68[Count],1):Table68[[#This Row],[Count]])</f>
        <v>17</v>
      </c>
      <c r="C29" s="5" t="s">
        <v>99</v>
      </c>
      <c r="D29" s="5" t="s">
        <v>1559</v>
      </c>
      <c r="E29" s="5" t="s">
        <v>13</v>
      </c>
      <c r="F29" s="5"/>
      <c r="G29" s="5"/>
      <c r="H29" s="5"/>
      <c r="I29" s="5"/>
      <c r="J29" s="5"/>
      <c r="K29" s="5" t="s">
        <v>127</v>
      </c>
      <c r="L29" s="5" t="s">
        <v>127</v>
      </c>
      <c r="M29" s="5" t="s">
        <v>127</v>
      </c>
      <c r="N29" s="5"/>
      <c r="O29" s="5"/>
      <c r="P29" s="5"/>
    </row>
    <row r="30" spans="1:18" ht="45" x14ac:dyDescent="0.25">
      <c r="A30" s="5" t="str">
        <f>"PATH"&amp;TEXT(Table68[[#This Row],[Count]],"000")&amp;"."&amp;IF(Table68[[#This Row],[Category]]="Essential","E",IF(Table68[[#This Row],[Category]]="Discretionary","D","O"))</f>
        <v>PATH018.E</v>
      </c>
      <c r="B30" s="5">
        <f>MAX(Table67[Count])+ROWS(INDEX(Table68[Count],1):Table68[[#This Row],[Count]])</f>
        <v>18</v>
      </c>
      <c r="C30" s="5" t="s">
        <v>99</v>
      </c>
      <c r="D30" s="5" t="s">
        <v>1560</v>
      </c>
      <c r="E30" s="5" t="s">
        <v>13</v>
      </c>
      <c r="F30" s="5"/>
      <c r="G30" s="5"/>
      <c r="H30" s="5"/>
      <c r="I30" s="5"/>
      <c r="J30" s="5"/>
      <c r="K30" s="5"/>
      <c r="L30" s="5"/>
      <c r="M30" s="5" t="s">
        <v>127</v>
      </c>
      <c r="N30" s="5" t="s">
        <v>127</v>
      </c>
      <c r="O30" s="5"/>
      <c r="P30" s="5"/>
    </row>
    <row r="31" spans="1:18" ht="45" x14ac:dyDescent="0.25">
      <c r="A31" s="5" t="str">
        <f>"PATH"&amp;TEXT(Table68[[#This Row],[Count]],"000")&amp;"."&amp;IF(Table68[[#This Row],[Category]]="Essential","E",IF(Table68[[#This Row],[Category]]="Discretionary","D","O"))</f>
        <v>PATH019.E</v>
      </c>
      <c r="B31" s="5">
        <f>MAX(Table67[Count])+ROWS(INDEX(Table68[Count],1):Table68[[#This Row],[Count]])</f>
        <v>19</v>
      </c>
      <c r="C31" s="5" t="s">
        <v>99</v>
      </c>
      <c r="D31" s="5" t="s">
        <v>1561</v>
      </c>
      <c r="E31" s="5" t="s">
        <v>13</v>
      </c>
      <c r="F31" s="5"/>
      <c r="G31" s="5"/>
      <c r="H31" s="5"/>
      <c r="I31" s="5"/>
      <c r="J31" s="5"/>
      <c r="K31" s="5" t="s">
        <v>127</v>
      </c>
      <c r="L31" s="5" t="s">
        <v>127</v>
      </c>
      <c r="M31" s="5" t="s">
        <v>127</v>
      </c>
      <c r="N31" s="5" t="s">
        <v>127</v>
      </c>
      <c r="O31" s="5"/>
      <c r="P31" s="5"/>
      <c r="R31" s="5" t="s">
        <v>1562</v>
      </c>
    </row>
    <row r="32" spans="1:18" ht="45" x14ac:dyDescent="0.25">
      <c r="A32" s="5" t="str">
        <f>"PATH"&amp;TEXT(Table68[[#This Row],[Count]],"000")&amp;"."&amp;IF(Table68[[#This Row],[Category]]="Essential","E",IF(Table68[[#This Row],[Category]]="Discretionary","D","O"))</f>
        <v>PATH020.E</v>
      </c>
      <c r="B32" s="5">
        <f>MAX(Table67[Count])+ROWS(INDEX(Table68[Count],1):Table68[[#This Row],[Count]])</f>
        <v>20</v>
      </c>
      <c r="C32" s="5" t="s">
        <v>99</v>
      </c>
      <c r="D32" s="5" t="s">
        <v>1563</v>
      </c>
      <c r="E32" s="5" t="s">
        <v>13</v>
      </c>
      <c r="F32" s="5"/>
      <c r="G32" s="5"/>
      <c r="H32" s="5"/>
      <c r="I32" s="5"/>
      <c r="J32" s="5" t="s">
        <v>127</v>
      </c>
      <c r="K32" s="5" t="s">
        <v>127</v>
      </c>
      <c r="L32" s="5" t="s">
        <v>127</v>
      </c>
      <c r="M32" s="5" t="s">
        <v>127</v>
      </c>
      <c r="N32" s="5" t="s">
        <v>127</v>
      </c>
      <c r="O32" s="5"/>
      <c r="P32" s="5"/>
    </row>
    <row r="33" spans="1:18" ht="30" x14ac:dyDescent="0.25">
      <c r="A33" s="5" t="str">
        <f>"PATH"&amp;TEXT(Table68[[#This Row],[Count]],"000")&amp;"."&amp;IF(Table68[[#This Row],[Category]]="Essential","E",IF(Table68[[#This Row],[Category]]="Discretionary","D","O"))</f>
        <v>PATH021.E</v>
      </c>
      <c r="B33" s="5">
        <f>MAX(Table67[Count])+ROWS(INDEX(Table68[Count],1):Table68[[#This Row],[Count]])</f>
        <v>21</v>
      </c>
      <c r="C33" s="5" t="s">
        <v>99</v>
      </c>
      <c r="D33" s="5" t="s">
        <v>1564</v>
      </c>
      <c r="E33" s="5" t="s">
        <v>13</v>
      </c>
      <c r="F33" s="5"/>
      <c r="G33" s="5"/>
      <c r="H33" s="5"/>
      <c r="I33" s="5"/>
      <c r="J33" s="5"/>
      <c r="K33" s="5"/>
      <c r="L33" s="5" t="s">
        <v>127</v>
      </c>
      <c r="M33" s="5" t="s">
        <v>127</v>
      </c>
      <c r="N33" s="5" t="s">
        <v>127</v>
      </c>
      <c r="O33" s="5"/>
      <c r="P33" s="5"/>
    </row>
    <row r="34" spans="1:18" ht="30" x14ac:dyDescent="0.25">
      <c r="A34" s="5" t="str">
        <f>"PATH"&amp;TEXT(Table68[[#This Row],[Count]],"000")&amp;"."&amp;IF(Table68[[#This Row],[Category]]="Essential","E",IF(Table68[[#This Row],[Category]]="Discretionary","D","O"))</f>
        <v>PATH022.E</v>
      </c>
      <c r="B34" s="5">
        <f>MAX(Table67[Count])+ROWS(INDEX(Table68[Count],1):Table68[[#This Row],[Count]])</f>
        <v>22</v>
      </c>
      <c r="C34" s="5" t="s">
        <v>99</v>
      </c>
      <c r="D34" s="5" t="s">
        <v>1565</v>
      </c>
      <c r="E34" s="5" t="s">
        <v>13</v>
      </c>
      <c r="F34" s="5"/>
      <c r="G34" s="5"/>
      <c r="H34" s="5"/>
      <c r="I34" s="5"/>
      <c r="J34" s="5"/>
      <c r="K34" s="5" t="s">
        <v>127</v>
      </c>
      <c r="L34" s="5" t="s">
        <v>127</v>
      </c>
      <c r="M34" s="5" t="s">
        <v>127</v>
      </c>
      <c r="N34" s="5"/>
      <c r="O34" s="5"/>
      <c r="P34" s="5"/>
    </row>
    <row r="35" spans="1:18" x14ac:dyDescent="0.25">
      <c r="A35" s="5" t="str">
        <f>"PATH"&amp;TEXT(Table68[[#This Row],[Count]],"000")&amp;"."&amp;IF(Table68[[#This Row],[Category]]="Essential","E",IF(Table68[[#This Row],[Category]]="Discretionary","D","O"))</f>
        <v>PATH023.E</v>
      </c>
      <c r="B35" s="5">
        <f>MAX(Table67[Count])+ROWS(INDEX(Table68[Count],1):Table68[[#This Row],[Count]])</f>
        <v>23</v>
      </c>
      <c r="C35" s="5" t="s">
        <v>99</v>
      </c>
      <c r="D35" s="5" t="s">
        <v>1566</v>
      </c>
      <c r="E35" s="5" t="s">
        <v>13</v>
      </c>
      <c r="F35" s="5"/>
      <c r="G35" s="5"/>
      <c r="H35" s="5"/>
      <c r="I35" s="5"/>
      <c r="J35" s="5"/>
      <c r="K35" s="5"/>
      <c r="L35" s="5" t="s">
        <v>127</v>
      </c>
      <c r="M35" s="5" t="s">
        <v>127</v>
      </c>
      <c r="N35" s="5" t="s">
        <v>127</v>
      </c>
      <c r="O35" s="5" t="s">
        <v>127</v>
      </c>
      <c r="P35" s="5"/>
    </row>
    <row r="36" spans="1:18" x14ac:dyDescent="0.25">
      <c r="A36" s="5" t="str">
        <f>"PATH"&amp;TEXT(Table68[[#This Row],[Count]],"000")&amp;"."&amp;IF(Table68[[#This Row],[Category]]="Essential","E",IF(Table68[[#This Row],[Category]]="Discretionary","D","O"))</f>
        <v>PATH024.E</v>
      </c>
      <c r="B36" s="5">
        <f>MAX(Table67[Count])+ROWS(INDEX(Table68[Count],1):Table68[[#This Row],[Count]])</f>
        <v>24</v>
      </c>
      <c r="C36" s="5" t="s">
        <v>99</v>
      </c>
      <c r="D36" s="5" t="s">
        <v>1567</v>
      </c>
      <c r="E36" s="5" t="s">
        <v>13</v>
      </c>
      <c r="F36" s="5"/>
      <c r="G36" s="5"/>
      <c r="H36" s="5"/>
      <c r="I36" s="5"/>
      <c r="J36" s="5"/>
      <c r="K36" s="5"/>
      <c r="L36" s="5" t="s">
        <v>127</v>
      </c>
      <c r="M36" s="5" t="s">
        <v>127</v>
      </c>
      <c r="N36" s="5" t="s">
        <v>127</v>
      </c>
      <c r="O36" s="5" t="s">
        <v>127</v>
      </c>
      <c r="P36" s="5"/>
    </row>
    <row r="37" spans="1:18" x14ac:dyDescent="0.25">
      <c r="A37" s="5" t="str">
        <f>"PATH"&amp;TEXT(Table68[[#This Row],[Count]],"000")&amp;"."&amp;IF(Table68[[#This Row],[Category]]="Essential","E",IF(Table68[[#This Row],[Category]]="Discretionary","D","O"))</f>
        <v>PATH025.E</v>
      </c>
      <c r="B37" s="5">
        <f>MAX(Table67[Count])+ROWS(INDEX(Table68[Count],1):Table68[[#This Row],[Count]])</f>
        <v>25</v>
      </c>
      <c r="C37" s="5" t="s">
        <v>99</v>
      </c>
      <c r="D37" s="5" t="s">
        <v>1568</v>
      </c>
      <c r="E37" s="5" t="s">
        <v>13</v>
      </c>
      <c r="F37" s="5"/>
      <c r="G37" s="5"/>
      <c r="H37" s="5"/>
      <c r="I37" s="5"/>
      <c r="J37" s="5"/>
      <c r="K37" s="5"/>
      <c r="L37" s="5" t="s">
        <v>127</v>
      </c>
      <c r="M37" s="5" t="s">
        <v>127</v>
      </c>
      <c r="N37" s="5" t="s">
        <v>127</v>
      </c>
      <c r="O37" s="5"/>
      <c r="P37" s="5"/>
    </row>
    <row r="38" spans="1:18" x14ac:dyDescent="0.25">
      <c r="A38" s="5" t="str">
        <f>"PATH"&amp;TEXT(Table68[[#This Row],[Count]],"000")&amp;"."&amp;IF(Table68[[#This Row],[Category]]="Essential","E",IF(Table68[[#This Row],[Category]]="Discretionary","D","O"))</f>
        <v>PATH026.E</v>
      </c>
      <c r="B38" s="5">
        <f>MAX(Table67[Count])+ROWS(INDEX(Table68[Count],1):Table68[[#This Row],[Count]])</f>
        <v>26</v>
      </c>
      <c r="C38" s="5" t="s">
        <v>99</v>
      </c>
      <c r="D38" s="5" t="s">
        <v>1569</v>
      </c>
      <c r="E38" s="5" t="s">
        <v>13</v>
      </c>
      <c r="F38" s="5"/>
      <c r="G38" s="5"/>
      <c r="H38" s="5"/>
      <c r="I38" s="5"/>
      <c r="J38" s="5"/>
      <c r="K38" s="5"/>
      <c r="L38" s="5"/>
      <c r="M38" s="5" t="s">
        <v>127</v>
      </c>
      <c r="N38" s="5" t="s">
        <v>127</v>
      </c>
      <c r="O38" s="5"/>
      <c r="P38" s="5"/>
    </row>
    <row r="39" spans="1:18" x14ac:dyDescent="0.25">
      <c r="A39" s="5" t="str">
        <f>"PATH"&amp;TEXT(Table68[[#This Row],[Count]],"000")&amp;"."&amp;IF(Table68[[#This Row],[Category]]="Essential","E",IF(Table68[[#This Row],[Category]]="Discretionary","D","O"))</f>
        <v>PATH027.E</v>
      </c>
      <c r="B39" s="5">
        <f>MAX(Table67[Count])+ROWS(INDEX(Table68[Count],1):Table68[[#This Row],[Count]])</f>
        <v>27</v>
      </c>
      <c r="C39" s="5" t="s">
        <v>99</v>
      </c>
      <c r="D39" s="5" t="s">
        <v>1570</v>
      </c>
      <c r="E39" s="5" t="s">
        <v>13</v>
      </c>
      <c r="F39" s="5"/>
      <c r="G39" s="5"/>
      <c r="H39" s="5"/>
      <c r="I39" s="5"/>
      <c r="J39" s="5"/>
      <c r="K39" s="5"/>
      <c r="L39" s="5" t="s">
        <v>127</v>
      </c>
      <c r="M39" s="5" t="s">
        <v>127</v>
      </c>
      <c r="N39" s="5"/>
      <c r="O39" s="5"/>
      <c r="P39" s="5"/>
    </row>
    <row r="40" spans="1:18" ht="30" x14ac:dyDescent="0.25">
      <c r="A40" s="5" t="str">
        <f>"PATH"&amp;TEXT(Table68[[#This Row],[Count]],"000")&amp;"."&amp;IF(Table68[[#This Row],[Category]]="Essential","E",IF(Table68[[#This Row],[Category]]="Discretionary","D","O"))</f>
        <v>PATH028.E</v>
      </c>
      <c r="B40" s="5">
        <f>MAX(Table67[Count])+ROWS(INDEX(Table68[Count],1):Table68[[#This Row],[Count]])</f>
        <v>28</v>
      </c>
      <c r="C40" s="5" t="s">
        <v>99</v>
      </c>
      <c r="D40" s="5" t="s">
        <v>1571</v>
      </c>
      <c r="E40" s="5" t="s">
        <v>13</v>
      </c>
      <c r="F40" s="5"/>
      <c r="G40" s="5"/>
      <c r="H40" s="5"/>
      <c r="I40" s="5"/>
      <c r="J40" s="5"/>
      <c r="K40" s="5"/>
      <c r="L40" s="5" t="s">
        <v>127</v>
      </c>
      <c r="M40" s="5" t="s">
        <v>127</v>
      </c>
      <c r="N40" s="5" t="s">
        <v>127</v>
      </c>
      <c r="O40" s="5"/>
      <c r="P40" s="5"/>
    </row>
    <row r="41" spans="1:18" x14ac:dyDescent="0.25">
      <c r="A41" s="5" t="str">
        <f>"PATH"&amp;TEXT(Table68[[#This Row],[Count]],"000")&amp;"."&amp;IF(Table68[[#This Row],[Category]]="Essential","E",IF(Table68[[#This Row],[Category]]="Discretionary","D","O"))</f>
        <v>PATH029.E</v>
      </c>
      <c r="B41" s="5">
        <f>MAX(Table67[Count])+ROWS(INDEX(Table68[Count],1):Table68[[#This Row],[Count]])</f>
        <v>29</v>
      </c>
      <c r="C41" s="5" t="s">
        <v>99</v>
      </c>
      <c r="D41" s="5" t="s">
        <v>1572</v>
      </c>
      <c r="E41" s="5" t="s">
        <v>13</v>
      </c>
      <c r="F41" s="5"/>
      <c r="G41" s="5"/>
      <c r="H41" s="5"/>
      <c r="I41" s="5"/>
      <c r="J41" s="5"/>
      <c r="K41" s="5"/>
      <c r="L41" s="5" t="s">
        <v>127</v>
      </c>
      <c r="M41" s="5" t="s">
        <v>127</v>
      </c>
      <c r="N41" s="5"/>
      <c r="O41" s="5"/>
      <c r="P41" s="5"/>
    </row>
    <row r="42" spans="1:18" x14ac:dyDescent="0.25">
      <c r="A42" s="5" t="str">
        <f>"PATH"&amp;TEXT(Table68[[#This Row],[Count]],"000")&amp;"."&amp;IF(Table68[[#This Row],[Category]]="Essential","E",IF(Table68[[#This Row],[Category]]="Discretionary","D","O"))</f>
        <v>PATH030.E</v>
      </c>
      <c r="B42" s="5">
        <f>MAX(Table67[Count])+ROWS(INDEX(Table68[Count],1):Table68[[#This Row],[Count]])</f>
        <v>30</v>
      </c>
      <c r="C42" s="5" t="s">
        <v>99</v>
      </c>
      <c r="D42" s="5" t="s">
        <v>1573</v>
      </c>
      <c r="E42" s="5" t="s">
        <v>13</v>
      </c>
      <c r="F42" s="5"/>
      <c r="G42" s="5"/>
      <c r="H42" s="5"/>
      <c r="I42" s="5"/>
      <c r="J42" s="5"/>
      <c r="K42" s="5" t="s">
        <v>127</v>
      </c>
      <c r="L42" s="5" t="s">
        <v>127</v>
      </c>
      <c r="M42" s="5" t="s">
        <v>127</v>
      </c>
      <c r="N42" s="5" t="s">
        <v>127</v>
      </c>
      <c r="O42" s="5"/>
      <c r="P42" s="5"/>
    </row>
    <row r="43" spans="1:18" x14ac:dyDescent="0.25">
      <c r="A43" s="5" t="str">
        <f>"PATH"&amp;TEXT(Table68[[#This Row],[Count]],"000")&amp;"."&amp;IF(Table68[[#This Row],[Category]]="Essential","E",IF(Table68[[#This Row],[Category]]="Discretionary","D","O"))</f>
        <v>PATH031.E</v>
      </c>
      <c r="B43" s="5">
        <f>MAX(Table67[Count])+ROWS(INDEX(Table68[Count],1):Table68[[#This Row],[Count]])</f>
        <v>31</v>
      </c>
      <c r="C43" s="5" t="s">
        <v>99</v>
      </c>
      <c r="D43" s="5" t="s">
        <v>1574</v>
      </c>
      <c r="E43" s="5" t="s">
        <v>13</v>
      </c>
      <c r="F43" s="5" t="s">
        <v>127</v>
      </c>
      <c r="G43" s="5"/>
      <c r="H43" s="5"/>
      <c r="I43" s="5"/>
      <c r="J43" s="5" t="s">
        <v>127</v>
      </c>
      <c r="K43" s="5" t="s">
        <v>127</v>
      </c>
      <c r="L43" s="5" t="s">
        <v>127</v>
      </c>
      <c r="M43" s="5" t="s">
        <v>127</v>
      </c>
      <c r="N43" s="5" t="s">
        <v>127</v>
      </c>
      <c r="O43" s="5" t="s">
        <v>127</v>
      </c>
      <c r="P43" s="5"/>
    </row>
    <row r="44" spans="1:18" x14ac:dyDescent="0.25">
      <c r="A44" s="5" t="str">
        <f>"PATH"&amp;TEXT(Table68[[#This Row],[Count]],"000")&amp;"."&amp;IF(Table68[[#This Row],[Category]]="Essential","E",IF(Table68[[#This Row],[Category]]="Discretionary","D","O"))</f>
        <v>PATH032.E</v>
      </c>
      <c r="B44" s="5">
        <f>MAX(Table67[Count])+ROWS(INDEX(Table68[Count],1):Table68[[#This Row],[Count]])</f>
        <v>32</v>
      </c>
      <c r="C44" s="5" t="s">
        <v>99</v>
      </c>
      <c r="D44" s="5" t="s">
        <v>1575</v>
      </c>
      <c r="E44" s="5" t="s">
        <v>13</v>
      </c>
      <c r="F44" s="5"/>
      <c r="G44" s="5"/>
      <c r="H44" s="5"/>
      <c r="I44" s="5"/>
      <c r="J44" s="5"/>
      <c r="K44" s="5"/>
      <c r="L44" s="5" t="s">
        <v>127</v>
      </c>
      <c r="M44" s="5" t="s">
        <v>127</v>
      </c>
      <c r="N44" s="5" t="s">
        <v>127</v>
      </c>
      <c r="O44" s="5"/>
      <c r="P44" s="5"/>
    </row>
    <row r="45" spans="1:18" x14ac:dyDescent="0.25">
      <c r="A45" s="5" t="str">
        <f>"PATH"&amp;TEXT(Table68[[#This Row],[Count]],"000")&amp;"."&amp;IF(Table68[[#This Row],[Category]]="Essential","E",IF(Table68[[#This Row],[Category]]="Discretionary","D","O"))</f>
        <v>PATH033.E</v>
      </c>
      <c r="B45" s="5">
        <f>MAX(Table67[Count])+ROWS(INDEX(Table68[Count],1):Table68[[#This Row],[Count]])</f>
        <v>33</v>
      </c>
      <c r="C45" s="5" t="s">
        <v>99</v>
      </c>
      <c r="D45" s="5" t="s">
        <v>1576</v>
      </c>
      <c r="E45" s="5" t="s">
        <v>13</v>
      </c>
      <c r="F45" s="5"/>
      <c r="G45" s="5"/>
      <c r="H45" s="5"/>
      <c r="I45" s="5"/>
      <c r="J45" s="5"/>
      <c r="K45" s="5" t="s">
        <v>127</v>
      </c>
      <c r="L45" s="5" t="s">
        <v>127</v>
      </c>
      <c r="M45" s="5" t="s">
        <v>127</v>
      </c>
      <c r="N45" s="5" t="s">
        <v>127</v>
      </c>
      <c r="O45" s="5"/>
      <c r="P45" s="5"/>
    </row>
    <row r="46" spans="1:18" x14ac:dyDescent="0.25">
      <c r="A46" s="5" t="str">
        <f>"PATH"&amp;TEXT(Table68[[#This Row],[Count]],"000")&amp;"."&amp;IF(Table68[[#This Row],[Category]]="Essential","E",IF(Table68[[#This Row],[Category]]="Discretionary","D","O"))</f>
        <v>PATH034.E</v>
      </c>
      <c r="B46" s="5">
        <f>MAX(Table67[Count])+ROWS(INDEX(Table68[Count],1):Table68[[#This Row],[Count]])</f>
        <v>34</v>
      </c>
      <c r="C46" s="5" t="s">
        <v>99</v>
      </c>
      <c r="D46" s="5" t="s">
        <v>1577</v>
      </c>
      <c r="E46" s="5" t="s">
        <v>13</v>
      </c>
      <c r="F46" s="5"/>
      <c r="G46" s="5"/>
      <c r="H46" s="5"/>
      <c r="I46" s="5"/>
      <c r="J46" s="5"/>
      <c r="K46" s="5"/>
      <c r="L46" s="5" t="s">
        <v>127</v>
      </c>
      <c r="M46" s="5" t="s">
        <v>127</v>
      </c>
      <c r="N46" s="5" t="s">
        <v>127</v>
      </c>
      <c r="O46" s="5"/>
      <c r="P46" s="5"/>
      <c r="R46" s="5" t="s">
        <v>1578</v>
      </c>
    </row>
    <row r="47" spans="1:18" x14ac:dyDescent="0.25">
      <c r="A47" s="5" t="str">
        <f>"PATH"&amp;TEXT(Table68[[#This Row],[Count]],"000")&amp;"."&amp;IF(Table68[[#This Row],[Category]]="Essential","E",IF(Table68[[#This Row],[Category]]="Discretionary","D","O"))</f>
        <v>PATH035.E</v>
      </c>
      <c r="B47" s="5">
        <f>MAX(Table67[Count])+ROWS(INDEX(Table68[Count],1):Table68[[#This Row],[Count]])</f>
        <v>35</v>
      </c>
      <c r="C47" s="5" t="s">
        <v>99</v>
      </c>
      <c r="D47" s="5" t="s">
        <v>1579</v>
      </c>
      <c r="E47" s="5" t="s">
        <v>13</v>
      </c>
      <c r="F47" s="5" t="s">
        <v>127</v>
      </c>
      <c r="G47" s="5"/>
      <c r="H47" s="5"/>
      <c r="I47" s="5"/>
      <c r="J47" s="5"/>
      <c r="K47" s="5"/>
      <c r="L47" s="5"/>
      <c r="M47" s="5"/>
      <c r="N47" s="5"/>
      <c r="O47" s="5"/>
      <c r="P47" s="5"/>
    </row>
    <row r="48" spans="1:18" x14ac:dyDescent="0.25">
      <c r="A48" s="5" t="str">
        <f>"PATH"&amp;TEXT(Table68[[#This Row],[Count]],"000")&amp;"."&amp;IF(Table68[[#This Row],[Category]]="Essential","E",IF(Table68[[#This Row],[Category]]="Discretionary","D","O"))</f>
        <v>PATH036.E</v>
      </c>
      <c r="B48" s="5">
        <f>MAX(Table67[Count])+ROWS(INDEX(Table68[Count],1):Table68[[#This Row],[Count]])</f>
        <v>36</v>
      </c>
      <c r="C48" s="5" t="s">
        <v>99</v>
      </c>
      <c r="D48" s="5" t="s">
        <v>1580</v>
      </c>
      <c r="E48" s="5" t="s">
        <v>13</v>
      </c>
      <c r="F48" s="5"/>
      <c r="G48" s="5"/>
      <c r="H48" s="5"/>
      <c r="I48" s="5"/>
      <c r="J48" s="5"/>
      <c r="K48" s="5"/>
      <c r="L48" s="5" t="s">
        <v>127</v>
      </c>
      <c r="M48" s="5" t="s">
        <v>127</v>
      </c>
      <c r="N48" s="5" t="s">
        <v>127</v>
      </c>
      <c r="O48" s="5" t="s">
        <v>127</v>
      </c>
      <c r="P48" s="5"/>
      <c r="R48" s="5" t="s">
        <v>1581</v>
      </c>
    </row>
    <row r="49" spans="1:18" x14ac:dyDescent="0.25">
      <c r="A49" s="5" t="str">
        <f>"PATH"&amp;TEXT(Table68[[#This Row],[Count]],"000")&amp;"."&amp;IF(Table68[[#This Row],[Category]]="Essential","E",IF(Table68[[#This Row],[Category]]="Discretionary","D","O"))</f>
        <v>PATH037.E</v>
      </c>
      <c r="B49" s="5">
        <f>MAX(Table67[Count])+ROWS(INDEX(Table68[Count],1):Table68[[#This Row],[Count]])</f>
        <v>37</v>
      </c>
      <c r="C49" s="5" t="s">
        <v>99</v>
      </c>
      <c r="D49" s="5" t="s">
        <v>1582</v>
      </c>
      <c r="E49" s="5" t="s">
        <v>13</v>
      </c>
      <c r="F49" s="5"/>
      <c r="G49" s="5"/>
      <c r="H49" s="5"/>
      <c r="I49" s="5"/>
      <c r="J49" s="5" t="s">
        <v>127</v>
      </c>
      <c r="K49" s="5"/>
      <c r="L49" s="5"/>
      <c r="M49" s="5"/>
      <c r="N49" s="5"/>
      <c r="O49" s="5"/>
      <c r="P49" s="5"/>
    </row>
    <row r="50" spans="1:18" x14ac:dyDescent="0.25">
      <c r="A50" s="5" t="str">
        <f>"PATH"&amp;TEXT(Table68[[#This Row],[Count]],"000")&amp;"."&amp;IF(Table68[[#This Row],[Category]]="Essential","E",IF(Table68[[#This Row],[Category]]="Discretionary","D","O"))</f>
        <v>PATH038.E</v>
      </c>
      <c r="B50" s="5">
        <f>MAX(Table67[Count])+ROWS(INDEX(Table68[Count],1):Table68[[#This Row],[Count]])</f>
        <v>38</v>
      </c>
      <c r="C50" s="5" t="s">
        <v>99</v>
      </c>
      <c r="D50" s="5" t="s">
        <v>1583</v>
      </c>
      <c r="E50" s="5" t="s">
        <v>13</v>
      </c>
      <c r="F50" s="5" t="s">
        <v>127</v>
      </c>
      <c r="G50" s="5"/>
      <c r="H50" s="5"/>
      <c r="I50" s="5"/>
      <c r="J50" s="5" t="s">
        <v>127</v>
      </c>
      <c r="K50" s="5" t="s">
        <v>127</v>
      </c>
      <c r="L50" s="5" t="s">
        <v>127</v>
      </c>
      <c r="M50" s="5"/>
      <c r="N50" s="5"/>
      <c r="O50" s="5"/>
      <c r="P50" s="5"/>
    </row>
    <row r="51" spans="1:18" ht="30" x14ac:dyDescent="0.25">
      <c r="A51" s="5" t="str">
        <f>"PATH"&amp;TEXT(Table68[[#This Row],[Count]],"000")&amp;"."&amp;IF(Table68[[#This Row],[Category]]="Essential","E",IF(Table68[[#This Row],[Category]]="Discretionary","D","O"))</f>
        <v>PATH039.E</v>
      </c>
      <c r="B51" s="5">
        <f>MAX(Table67[Count])+ROWS(INDEX(Table68[Count],1):Table68[[#This Row],[Count]])</f>
        <v>39</v>
      </c>
      <c r="C51" s="5" t="s">
        <v>99</v>
      </c>
      <c r="D51" s="5" t="s">
        <v>1584</v>
      </c>
      <c r="E51" s="5" t="s">
        <v>13</v>
      </c>
      <c r="F51" s="5"/>
      <c r="G51" s="5"/>
      <c r="H51" s="5"/>
      <c r="I51" s="5"/>
      <c r="J51" s="5"/>
      <c r="K51" s="5" t="s">
        <v>127</v>
      </c>
      <c r="L51" s="5" t="s">
        <v>127</v>
      </c>
      <c r="M51" s="5" t="s">
        <v>127</v>
      </c>
      <c r="N51" s="5" t="s">
        <v>127</v>
      </c>
      <c r="O51" s="5"/>
      <c r="P51" s="5"/>
    </row>
    <row r="52" spans="1:18" ht="30" x14ac:dyDescent="0.25">
      <c r="A52" s="5" t="str">
        <f>"PATH"&amp;TEXT(Table68[[#This Row],[Count]],"000")&amp;"."&amp;IF(Table68[[#This Row],[Category]]="Essential","E",IF(Table68[[#This Row],[Category]]="Discretionary","D","O"))</f>
        <v>PATH040.E</v>
      </c>
      <c r="B52" s="5">
        <f>MAX(Table67[Count])+ROWS(INDEX(Table68[Count],1):Table68[[#This Row],[Count]])</f>
        <v>40</v>
      </c>
      <c r="C52" s="5" t="s">
        <v>99</v>
      </c>
      <c r="D52" s="5" t="s">
        <v>1585</v>
      </c>
      <c r="E52" s="5" t="s">
        <v>13</v>
      </c>
      <c r="F52" s="5"/>
      <c r="G52" s="5"/>
      <c r="H52" s="5"/>
      <c r="I52" s="5"/>
      <c r="J52" s="5"/>
      <c r="K52" s="5" t="s">
        <v>127</v>
      </c>
      <c r="L52" s="5" t="s">
        <v>127</v>
      </c>
      <c r="M52" s="5" t="s">
        <v>127</v>
      </c>
      <c r="N52" s="5" t="s">
        <v>127</v>
      </c>
      <c r="O52" s="5"/>
      <c r="P52" s="5"/>
    </row>
    <row r="53" spans="1:18" ht="45" x14ac:dyDescent="0.25">
      <c r="A53" s="5" t="str">
        <f>"PATH"&amp;TEXT(Table68[[#This Row],[Count]],"000")&amp;"."&amp;IF(Table68[[#This Row],[Category]]="Essential","E",IF(Table68[[#This Row],[Category]]="Discretionary","D","O"))</f>
        <v>PATH041.E</v>
      </c>
      <c r="B53" s="5">
        <f>MAX(Table67[Count])+ROWS(INDEX(Table68[Count],1):Table68[[#This Row],[Count]])</f>
        <v>41</v>
      </c>
      <c r="C53" s="5" t="s">
        <v>99</v>
      </c>
      <c r="D53" s="5" t="s">
        <v>1586</v>
      </c>
      <c r="E53" s="5" t="s">
        <v>13</v>
      </c>
      <c r="F53" s="5"/>
      <c r="G53" s="5"/>
      <c r="H53" s="5"/>
      <c r="I53" s="5"/>
      <c r="J53" s="5"/>
      <c r="K53" s="5" t="s">
        <v>127</v>
      </c>
      <c r="L53" s="5" t="s">
        <v>127</v>
      </c>
      <c r="M53" s="5" t="s">
        <v>127</v>
      </c>
      <c r="N53" s="5" t="s">
        <v>127</v>
      </c>
      <c r="O53" s="5"/>
      <c r="P53" s="5"/>
    </row>
    <row r="54" spans="1:18" ht="30" x14ac:dyDescent="0.25">
      <c r="A54" s="5" t="str">
        <f>"PATH"&amp;TEXT(Table68[[#This Row],[Count]],"000")&amp;"."&amp;IF(Table68[[#This Row],[Category]]="Essential","E",IF(Table68[[#This Row],[Category]]="Discretionary","D","O"))</f>
        <v>PATH042.E</v>
      </c>
      <c r="B54" s="5">
        <f>MAX(Table67[Count])+ROWS(INDEX(Table68[Count],1):Table68[[#This Row],[Count]])</f>
        <v>42</v>
      </c>
      <c r="C54" s="5" t="s">
        <v>99</v>
      </c>
      <c r="D54" s="5" t="s">
        <v>1587</v>
      </c>
      <c r="E54" s="5" t="s">
        <v>13</v>
      </c>
      <c r="F54" s="5"/>
      <c r="G54" s="5"/>
      <c r="H54" s="5"/>
      <c r="I54" s="5"/>
      <c r="J54" s="5"/>
      <c r="K54" s="5"/>
      <c r="L54" s="5" t="s">
        <v>127</v>
      </c>
      <c r="M54" s="5" t="s">
        <v>127</v>
      </c>
      <c r="N54" s="5" t="s">
        <v>127</v>
      </c>
      <c r="O54" s="5"/>
      <c r="P54" s="5"/>
    </row>
    <row r="55" spans="1:18" x14ac:dyDescent="0.25">
      <c r="A55" s="5" t="str">
        <f>"PATH"&amp;TEXT(Table68[[#This Row],[Count]],"000")&amp;"."&amp;IF(Table68[[#This Row],[Category]]="Essential","E",IF(Table68[[#This Row],[Category]]="Discretionary","D","O"))</f>
        <v>PATH043.E</v>
      </c>
      <c r="B55" s="5">
        <f>MAX(Table67[Count])+ROWS(INDEX(Table68[Count],1):Table68[[#This Row],[Count]])</f>
        <v>43</v>
      </c>
      <c r="C55" s="5" t="s">
        <v>99</v>
      </c>
      <c r="D55" s="5" t="s">
        <v>1588</v>
      </c>
      <c r="E55" s="5" t="s">
        <v>13</v>
      </c>
      <c r="F55" s="5"/>
      <c r="G55" s="5"/>
      <c r="H55" s="5"/>
      <c r="I55" s="5"/>
      <c r="J55" s="5" t="s">
        <v>127</v>
      </c>
      <c r="K55" s="5"/>
      <c r="L55" s="5"/>
      <c r="M55" s="5"/>
      <c r="N55" s="5"/>
      <c r="O55" s="5"/>
      <c r="P55" s="5"/>
    </row>
    <row r="56" spans="1:18" x14ac:dyDescent="0.25">
      <c r="A56" s="5"/>
      <c r="B56" s="5"/>
      <c r="E56" s="5"/>
      <c r="F56" s="5"/>
      <c r="G56" s="5"/>
      <c r="H56" s="5"/>
      <c r="I56" s="5"/>
      <c r="J56" s="5"/>
      <c r="K56" s="5"/>
      <c r="L56" s="5"/>
      <c r="M56" s="5"/>
      <c r="N56" s="5"/>
      <c r="O56" s="5"/>
      <c r="P56" s="5"/>
    </row>
    <row r="57" spans="1:18" x14ac:dyDescent="0.25">
      <c r="A57" s="58" t="s">
        <v>1589</v>
      </c>
      <c r="B57" s="58"/>
      <c r="C57" s="58"/>
      <c r="D57" s="58"/>
      <c r="E57" s="58"/>
      <c r="F57" s="58"/>
      <c r="G57" s="58"/>
      <c r="H57" s="58"/>
      <c r="I57" s="58"/>
      <c r="J57" s="58"/>
      <c r="K57" s="58"/>
      <c r="L57" s="58"/>
      <c r="M57" s="58"/>
      <c r="N57" s="58"/>
      <c r="O57" s="58"/>
      <c r="P57" s="58"/>
      <c r="Q57" s="58"/>
      <c r="R57" s="58"/>
    </row>
    <row r="59" spans="1:18" x14ac:dyDescent="0.25">
      <c r="A59" s="6" t="s">
        <v>120</v>
      </c>
      <c r="B59" s="6" t="s">
        <v>121</v>
      </c>
      <c r="C59" s="7" t="s">
        <v>122</v>
      </c>
      <c r="D59" s="7" t="s">
        <v>123</v>
      </c>
      <c r="E59" s="6" t="s">
        <v>8</v>
      </c>
      <c r="F59" s="6" t="s">
        <v>124</v>
      </c>
      <c r="G59" s="6" t="s">
        <v>154</v>
      </c>
      <c r="H59" s="6" t="s">
        <v>155</v>
      </c>
      <c r="I59" s="6" t="s">
        <v>156</v>
      </c>
      <c r="J59" s="6" t="s">
        <v>157</v>
      </c>
      <c r="K59" s="6" t="s">
        <v>158</v>
      </c>
      <c r="L59" s="6" t="s">
        <v>159</v>
      </c>
      <c r="M59" s="6" t="s">
        <v>160</v>
      </c>
      <c r="N59" s="6" t="s">
        <v>161</v>
      </c>
      <c r="O59" s="6" t="s">
        <v>162</v>
      </c>
      <c r="P59" s="6" t="s">
        <v>163</v>
      </c>
      <c r="Q59" s="6" t="s">
        <v>164</v>
      </c>
      <c r="R59" s="7" t="s">
        <v>125</v>
      </c>
    </row>
    <row r="60" spans="1:18" ht="30" x14ac:dyDescent="0.25">
      <c r="A60" s="5" t="str">
        <f>"PATH"&amp;TEXT(Table69[[#This Row],[Count]],"000")&amp;"."&amp;IF(Table69[[#This Row],[Category]]="Essential","E",IF(Table69[[#This Row],[Category]]="Discretionary","D","O"))</f>
        <v>PATH044.E</v>
      </c>
      <c r="B60" s="5">
        <f>MAX(Table68[Count])+ROWS(INDEX(Table69[Count],1):Table69[[#This Row],[Count]])</f>
        <v>44</v>
      </c>
      <c r="C60" s="5" t="s">
        <v>1589</v>
      </c>
      <c r="D60" s="5" t="s">
        <v>1590</v>
      </c>
      <c r="E60" s="5" t="s">
        <v>13</v>
      </c>
      <c r="F60" s="5"/>
      <c r="G60" s="5"/>
      <c r="H60" s="5"/>
      <c r="I60" s="5"/>
      <c r="J60" s="5"/>
      <c r="K60" s="5"/>
      <c r="L60" s="5" t="s">
        <v>127</v>
      </c>
      <c r="M60" s="5" t="s">
        <v>127</v>
      </c>
      <c r="N60" s="5" t="s">
        <v>127</v>
      </c>
      <c r="O60" s="5" t="s">
        <v>127</v>
      </c>
      <c r="P60" s="5" t="s">
        <v>127</v>
      </c>
    </row>
    <row r="62" spans="1:18" x14ac:dyDescent="0.25">
      <c r="A62" s="58" t="s">
        <v>1591</v>
      </c>
      <c r="B62" s="58"/>
      <c r="C62" s="58"/>
      <c r="D62" s="58"/>
      <c r="E62" s="58"/>
      <c r="F62" s="58"/>
      <c r="G62" s="58"/>
      <c r="H62" s="58"/>
      <c r="I62" s="58"/>
      <c r="J62" s="58"/>
      <c r="K62" s="58"/>
      <c r="L62" s="58"/>
      <c r="M62" s="58"/>
      <c r="N62" s="58"/>
      <c r="O62" s="58"/>
      <c r="P62" s="58"/>
      <c r="Q62" s="58"/>
      <c r="R62" s="58"/>
    </row>
    <row r="64" spans="1:18" x14ac:dyDescent="0.25">
      <c r="A64" s="6" t="s">
        <v>120</v>
      </c>
      <c r="B64" s="6" t="s">
        <v>121</v>
      </c>
      <c r="C64" s="7" t="s">
        <v>122</v>
      </c>
      <c r="D64" s="7" t="s">
        <v>123</v>
      </c>
      <c r="E64" s="6" t="s">
        <v>8</v>
      </c>
      <c r="F64" s="6" t="s">
        <v>124</v>
      </c>
      <c r="G64" s="6" t="s">
        <v>154</v>
      </c>
      <c r="H64" s="6" t="s">
        <v>155</v>
      </c>
      <c r="I64" s="6" t="s">
        <v>156</v>
      </c>
      <c r="J64" s="6" t="s">
        <v>157</v>
      </c>
      <c r="K64" s="6" t="s">
        <v>158</v>
      </c>
      <c r="L64" s="6" t="s">
        <v>159</v>
      </c>
      <c r="M64" s="6" t="s">
        <v>160</v>
      </c>
      <c r="N64" s="6" t="s">
        <v>161</v>
      </c>
      <c r="O64" s="6" t="s">
        <v>162</v>
      </c>
      <c r="P64" s="6" t="s">
        <v>163</v>
      </c>
      <c r="Q64" s="6" t="s">
        <v>164</v>
      </c>
      <c r="R64" s="7" t="s">
        <v>125</v>
      </c>
    </row>
    <row r="65" spans="1:18" ht="30" x14ac:dyDescent="0.25">
      <c r="A65" s="2" t="str">
        <f>"PATH"&amp;TEXT(Table70[[#This Row],[Count]],"000")&amp;"."&amp;IF(Table70[[#This Row],[Category]]="Essential","E",IF(Table70[[#This Row],[Category]]="Discretionary","D","O"))</f>
        <v>PATH045.E</v>
      </c>
      <c r="B65" s="2">
        <f>MAX(Table69[Count])+ROWS(INDEX(Table70[Count],1):Table70[[#This Row],[Count]])</f>
        <v>45</v>
      </c>
      <c r="C65" s="5" t="s">
        <v>1591</v>
      </c>
      <c r="D65" s="5" t="s">
        <v>1592</v>
      </c>
      <c r="E65" s="5" t="s">
        <v>13</v>
      </c>
      <c r="L65" s="2" t="s">
        <v>127</v>
      </c>
      <c r="M65" s="2" t="s">
        <v>127</v>
      </c>
      <c r="N65" s="2" t="s">
        <v>127</v>
      </c>
      <c r="O65" s="2" t="s">
        <v>127</v>
      </c>
      <c r="P65" s="2" t="s">
        <v>127</v>
      </c>
      <c r="Q65" s="2"/>
    </row>
    <row r="66" spans="1:18" ht="30" x14ac:dyDescent="0.25">
      <c r="A66" s="2" t="str">
        <f>"PATH"&amp;TEXT(Table70[[#This Row],[Count]],"000")&amp;"."&amp;IF(Table70[[#This Row],[Category]]="Essential","E",IF(Table70[[#This Row],[Category]]="Discretionary","D","O"))</f>
        <v>PATH046.E</v>
      </c>
      <c r="B66" s="2">
        <f>MAX(Table69[Count])+ROWS(INDEX(Table70[Count],1):Table70[[#This Row],[Count]])</f>
        <v>46</v>
      </c>
      <c r="C66" s="5" t="s">
        <v>1591</v>
      </c>
      <c r="D66" s="5" t="s">
        <v>1593</v>
      </c>
      <c r="E66" s="5" t="s">
        <v>13</v>
      </c>
      <c r="L66" s="2" t="s">
        <v>127</v>
      </c>
      <c r="M66" s="2" t="s">
        <v>127</v>
      </c>
      <c r="N66" s="2" t="s">
        <v>127</v>
      </c>
      <c r="O66" s="2" t="s">
        <v>127</v>
      </c>
      <c r="P66" s="2" t="s">
        <v>127</v>
      </c>
      <c r="Q66" s="2"/>
      <c r="R66" s="5" t="s">
        <v>1594</v>
      </c>
    </row>
    <row r="67" spans="1:18" ht="30" x14ac:dyDescent="0.25">
      <c r="A67" s="2" t="str">
        <f>"PATH"&amp;TEXT(Table70[[#This Row],[Count]],"000")&amp;"."&amp;IF(Table70[[#This Row],[Category]]="Essential","E",IF(Table70[[#This Row],[Category]]="Discretionary","D","O"))</f>
        <v>PATH047.E</v>
      </c>
      <c r="B67" s="2">
        <f>MAX(Table69[Count])+ROWS(INDEX(Table70[Count],1):Table70[[#This Row],[Count]])</f>
        <v>47</v>
      </c>
      <c r="C67" s="5" t="s">
        <v>1591</v>
      </c>
      <c r="D67" s="5" t="s">
        <v>1595</v>
      </c>
      <c r="E67" s="5" t="s">
        <v>13</v>
      </c>
      <c r="L67" s="2" t="s">
        <v>127</v>
      </c>
      <c r="M67" s="2" t="s">
        <v>127</v>
      </c>
      <c r="N67" s="2" t="s">
        <v>127</v>
      </c>
      <c r="O67" s="2" t="s">
        <v>127</v>
      </c>
      <c r="P67" s="2" t="s">
        <v>127</v>
      </c>
      <c r="Q67" s="2"/>
      <c r="R67" s="5" t="s">
        <v>1594</v>
      </c>
    </row>
    <row r="68" spans="1:18" ht="45" x14ac:dyDescent="0.25">
      <c r="A68" s="2" t="str">
        <f>"PATH"&amp;TEXT(Table70[[#This Row],[Count]],"000")&amp;"."&amp;IF(Table70[[#This Row],[Category]]="Essential","E",IF(Table70[[#This Row],[Category]]="Discretionary","D","O"))</f>
        <v>PATH048.E</v>
      </c>
      <c r="B68" s="2">
        <f>MAX(Table69[Count])+ROWS(INDEX(Table70[Count],1):Table70[[#This Row],[Count]])</f>
        <v>48</v>
      </c>
      <c r="C68" s="5" t="s">
        <v>1591</v>
      </c>
      <c r="D68" s="5" t="s">
        <v>1596</v>
      </c>
      <c r="E68" s="5" t="s">
        <v>13</v>
      </c>
      <c r="N68" s="2" t="s">
        <v>127</v>
      </c>
      <c r="O68" s="2" t="s">
        <v>127</v>
      </c>
      <c r="P68" s="2" t="s">
        <v>127</v>
      </c>
      <c r="Q68" s="2" t="s">
        <v>127</v>
      </c>
      <c r="R68" s="5" t="s">
        <v>1597</v>
      </c>
    </row>
    <row r="69" spans="1:18" ht="30" x14ac:dyDescent="0.25">
      <c r="A69" s="2" t="str">
        <f>"PATH"&amp;TEXT(Table70[[#This Row],[Count]],"000")&amp;"."&amp;IF(Table70[[#This Row],[Category]]="Essential","E",IF(Table70[[#This Row],[Category]]="Discretionary","D","O"))</f>
        <v>PATH049.E</v>
      </c>
      <c r="B69" s="2">
        <f>MAX(Table69[Count])+ROWS(INDEX(Table70[Count],1):Table70[[#This Row],[Count]])</f>
        <v>49</v>
      </c>
      <c r="C69" s="5" t="s">
        <v>1591</v>
      </c>
      <c r="D69" s="5" t="s">
        <v>1598</v>
      </c>
      <c r="E69" s="5" t="s">
        <v>13</v>
      </c>
      <c r="L69" s="2" t="s">
        <v>127</v>
      </c>
      <c r="M69" s="2" t="s">
        <v>127</v>
      </c>
      <c r="N69" s="2" t="s">
        <v>127</v>
      </c>
      <c r="O69" s="2" t="s">
        <v>127</v>
      </c>
      <c r="P69" s="2" t="s">
        <v>127</v>
      </c>
      <c r="Q69" s="2"/>
    </row>
    <row r="70" spans="1:18" x14ac:dyDescent="0.25">
      <c r="A70" s="2" t="str">
        <f>"PATH"&amp;TEXT(Table70[[#This Row],[Count]],"000")&amp;"."&amp;IF(Table70[[#This Row],[Category]]="Essential","E",IF(Table70[[#This Row],[Category]]="Discretionary","D","O"))</f>
        <v>PATH050.E</v>
      </c>
      <c r="B70" s="2">
        <f>MAX(Table69[Count])+ROWS(INDEX(Table70[Count],1):Table70[[#This Row],[Count]])</f>
        <v>50</v>
      </c>
      <c r="C70" s="5" t="s">
        <v>1591</v>
      </c>
      <c r="D70" s="5" t="s">
        <v>1599</v>
      </c>
      <c r="E70" s="5" t="s">
        <v>13</v>
      </c>
      <c r="L70" s="2" t="s">
        <v>127</v>
      </c>
      <c r="M70" s="2" t="s">
        <v>127</v>
      </c>
      <c r="N70" s="2" t="s">
        <v>127</v>
      </c>
      <c r="O70" s="2" t="s">
        <v>127</v>
      </c>
      <c r="P70" s="2" t="s">
        <v>127</v>
      </c>
      <c r="Q70" s="2"/>
    </row>
    <row r="71" spans="1:18" ht="45" x14ac:dyDescent="0.25">
      <c r="A71" s="2" t="str">
        <f>"PATH"&amp;TEXT(Table70[[#This Row],[Count]],"000")&amp;"."&amp;IF(Table70[[#This Row],[Category]]="Essential","E",IF(Table70[[#This Row],[Category]]="Discretionary","D","O"))</f>
        <v>PATH051.O</v>
      </c>
      <c r="B71" s="2">
        <f>MAX(Table69[Count])+ROWS(INDEX(Table70[Count],1):Table70[[#This Row],[Count]])</f>
        <v>51</v>
      </c>
      <c r="C71" s="5" t="s">
        <v>1591</v>
      </c>
      <c r="D71" s="5" t="s">
        <v>1600</v>
      </c>
      <c r="E71" s="2" t="s">
        <v>23</v>
      </c>
      <c r="L71" s="2" t="s">
        <v>127</v>
      </c>
      <c r="M71" s="2" t="s">
        <v>127</v>
      </c>
      <c r="N71" s="2" t="s">
        <v>127</v>
      </c>
      <c r="O71" s="2" t="s">
        <v>127</v>
      </c>
      <c r="P71" s="2" t="s">
        <v>127</v>
      </c>
      <c r="Q71" s="2"/>
      <c r="R71" s="5" t="s">
        <v>1601</v>
      </c>
    </row>
    <row r="72" spans="1:18" ht="30" x14ac:dyDescent="0.25">
      <c r="A72" s="2" t="str">
        <f>"PATH"&amp;TEXT(Table70[[#This Row],[Count]],"000")&amp;"."&amp;IF(Table70[[#This Row],[Category]]="Essential","E",IF(Table70[[#This Row],[Category]]="Discretionary","D","O"))</f>
        <v>PATH052.E</v>
      </c>
      <c r="B72" s="2">
        <f>MAX(Table69[Count])+ROWS(INDEX(Table70[Count],1):Table70[[#This Row],[Count]])</f>
        <v>52</v>
      </c>
      <c r="C72" s="5" t="s">
        <v>1591</v>
      </c>
      <c r="D72" s="5" t="s">
        <v>1602</v>
      </c>
      <c r="E72" s="5" t="s">
        <v>13</v>
      </c>
      <c r="L72" s="2" t="s">
        <v>127</v>
      </c>
      <c r="M72" s="2" t="s">
        <v>127</v>
      </c>
      <c r="N72" s="2" t="s">
        <v>127</v>
      </c>
      <c r="O72" s="2" t="s">
        <v>127</v>
      </c>
      <c r="P72" s="2" t="s">
        <v>127</v>
      </c>
      <c r="Q72" s="2"/>
      <c r="R72" s="5" t="s">
        <v>1594</v>
      </c>
    </row>
    <row r="73" spans="1:18" ht="30" x14ac:dyDescent="0.25">
      <c r="A73" s="2" t="str">
        <f>"PATH"&amp;TEXT(Table70[[#This Row],[Count]],"000")&amp;"."&amp;IF(Table70[[#This Row],[Category]]="Essential","E",IF(Table70[[#This Row],[Category]]="Discretionary","D","O"))</f>
        <v>PATH053.E</v>
      </c>
      <c r="B73" s="2">
        <f>MAX(Table69[Count])+ROWS(INDEX(Table70[Count],1):Table70[[#This Row],[Count]])</f>
        <v>53</v>
      </c>
      <c r="C73" s="5" t="s">
        <v>1591</v>
      </c>
      <c r="D73" s="5" t="s">
        <v>1603</v>
      </c>
      <c r="E73" s="5" t="s">
        <v>13</v>
      </c>
      <c r="L73" s="2" t="s">
        <v>127</v>
      </c>
      <c r="M73" s="2" t="s">
        <v>127</v>
      </c>
      <c r="N73" s="2" t="s">
        <v>127</v>
      </c>
      <c r="O73" s="2" t="s">
        <v>127</v>
      </c>
      <c r="P73" s="2" t="s">
        <v>127</v>
      </c>
      <c r="Q73" s="2"/>
      <c r="R73" s="5" t="s">
        <v>1594</v>
      </c>
    </row>
    <row r="74" spans="1:18" ht="30" x14ac:dyDescent="0.25">
      <c r="A74" s="2" t="str">
        <f>"PATH"&amp;TEXT(Table70[[#This Row],[Count]],"000")&amp;"."&amp;IF(Table70[[#This Row],[Category]]="Essential","E",IF(Table70[[#This Row],[Category]]="Discretionary","D","O"))</f>
        <v>PATH054.E</v>
      </c>
      <c r="B74" s="2">
        <f>MAX(Table69[Count])+ROWS(INDEX(Table70[Count],1):Table70[[#This Row],[Count]])</f>
        <v>54</v>
      </c>
      <c r="C74" s="5" t="s">
        <v>1591</v>
      </c>
      <c r="D74" s="5" t="s">
        <v>1604</v>
      </c>
      <c r="E74" s="5" t="s">
        <v>13</v>
      </c>
      <c r="L74" s="2" t="s">
        <v>127</v>
      </c>
      <c r="M74" s="2" t="s">
        <v>127</v>
      </c>
      <c r="N74" s="2" t="s">
        <v>127</v>
      </c>
      <c r="O74" s="2" t="s">
        <v>127</v>
      </c>
      <c r="P74" s="2" t="s">
        <v>127</v>
      </c>
      <c r="Q74" s="2"/>
    </row>
    <row r="75" spans="1:18" ht="30" x14ac:dyDescent="0.25">
      <c r="A75" s="2" t="str">
        <f>"PATH"&amp;TEXT(Table70[[#This Row],[Count]],"000")&amp;"."&amp;IF(Table70[[#This Row],[Category]]="Essential","E",IF(Table70[[#This Row],[Category]]="Discretionary","D","O"))</f>
        <v>PATH055.E</v>
      </c>
      <c r="B75" s="2">
        <f>MAX(Table69[Count])+ROWS(INDEX(Table70[Count],1):Table70[[#This Row],[Count]])</f>
        <v>55</v>
      </c>
      <c r="C75" s="5" t="s">
        <v>1591</v>
      </c>
      <c r="D75" s="5" t="s">
        <v>1605</v>
      </c>
      <c r="E75" s="5" t="s">
        <v>13</v>
      </c>
      <c r="L75" s="2" t="s">
        <v>127</v>
      </c>
      <c r="M75" s="2" t="s">
        <v>127</v>
      </c>
      <c r="N75" s="2" t="s">
        <v>127</v>
      </c>
      <c r="O75" s="2" t="s">
        <v>127</v>
      </c>
      <c r="P75" s="2" t="s">
        <v>127</v>
      </c>
      <c r="Q75" s="2"/>
    </row>
    <row r="76" spans="1:18" ht="30" x14ac:dyDescent="0.25">
      <c r="A76" s="2" t="str">
        <f>"PATH"&amp;TEXT(Table70[[#This Row],[Count]],"000")&amp;"."&amp;IF(Table70[[#This Row],[Category]]="Essential","E",IF(Table70[[#This Row],[Category]]="Discretionary","D","O"))</f>
        <v>PATH056.E</v>
      </c>
      <c r="B76" s="2">
        <f>MAX(Table69[Count])+ROWS(INDEX(Table70[Count],1):Table70[[#This Row],[Count]])</f>
        <v>56</v>
      </c>
      <c r="C76" s="5" t="s">
        <v>1591</v>
      </c>
      <c r="D76" s="5" t="s">
        <v>1606</v>
      </c>
      <c r="E76" s="5" t="s">
        <v>13</v>
      </c>
      <c r="L76" s="2" t="s">
        <v>127</v>
      </c>
      <c r="M76" s="2" t="s">
        <v>127</v>
      </c>
      <c r="N76" s="2" t="s">
        <v>127</v>
      </c>
      <c r="O76" s="2" t="s">
        <v>127</v>
      </c>
      <c r="P76" s="2" t="s">
        <v>127</v>
      </c>
      <c r="Q76" s="2"/>
    </row>
    <row r="77" spans="1:18" ht="30" x14ac:dyDescent="0.25">
      <c r="A77" s="2" t="str">
        <f>"PATH"&amp;TEXT(Table70[[#This Row],[Count]],"000")&amp;"."&amp;IF(Table70[[#This Row],[Category]]="Essential","E",IF(Table70[[#This Row],[Category]]="Discretionary","D","O"))</f>
        <v>PATH057.E</v>
      </c>
      <c r="B77" s="2">
        <f>MAX(Table69[Count])+ROWS(INDEX(Table70[Count],1):Table70[[#This Row],[Count]])</f>
        <v>57</v>
      </c>
      <c r="C77" s="5" t="s">
        <v>1591</v>
      </c>
      <c r="D77" s="5" t="s">
        <v>1607</v>
      </c>
      <c r="E77" s="5" t="s">
        <v>13</v>
      </c>
      <c r="L77" s="2" t="s">
        <v>127</v>
      </c>
      <c r="M77" s="2" t="s">
        <v>127</v>
      </c>
      <c r="N77" s="2" t="s">
        <v>127</v>
      </c>
      <c r="O77" s="2" t="s">
        <v>127</v>
      </c>
      <c r="P77" s="2" t="s">
        <v>127</v>
      </c>
      <c r="Q77" s="2"/>
    </row>
    <row r="78" spans="1:18" ht="30" x14ac:dyDescent="0.25">
      <c r="A78" s="2" t="str">
        <f>"PATH"&amp;TEXT(Table70[[#This Row],[Count]],"000")&amp;"."&amp;IF(Table70[[#This Row],[Category]]="Essential","E",IF(Table70[[#This Row],[Category]]="Discretionary","D","O"))</f>
        <v>PATH058.E</v>
      </c>
      <c r="B78" s="2">
        <f>MAX(Table69[Count])+ROWS(INDEX(Table70[Count],1):Table70[[#This Row],[Count]])</f>
        <v>58</v>
      </c>
      <c r="C78" s="5" t="s">
        <v>1591</v>
      </c>
      <c r="D78" s="5" t="s">
        <v>1608</v>
      </c>
      <c r="E78" s="5" t="s">
        <v>13</v>
      </c>
      <c r="L78" s="2" t="s">
        <v>127</v>
      </c>
      <c r="M78" s="2" t="s">
        <v>127</v>
      </c>
      <c r="N78" s="2" t="s">
        <v>127</v>
      </c>
      <c r="O78" s="2" t="s">
        <v>127</v>
      </c>
      <c r="P78" s="2" t="s">
        <v>127</v>
      </c>
      <c r="Q78" s="2"/>
    </row>
    <row r="79" spans="1:18" x14ac:dyDescent="0.25">
      <c r="Q79" s="2"/>
    </row>
    <row r="80" spans="1:18" x14ac:dyDescent="0.25">
      <c r="A80" s="58" t="s">
        <v>108</v>
      </c>
      <c r="B80" s="58"/>
      <c r="C80" s="58"/>
      <c r="D80" s="58"/>
      <c r="E80" s="58"/>
      <c r="F80" s="58"/>
      <c r="G80" s="58"/>
      <c r="H80" s="58"/>
      <c r="I80" s="58"/>
      <c r="J80" s="58"/>
      <c r="K80" s="58"/>
      <c r="L80" s="58"/>
      <c r="M80" s="58"/>
      <c r="N80" s="58"/>
      <c r="O80" s="58"/>
      <c r="P80" s="58"/>
      <c r="Q80" s="58"/>
      <c r="R80" s="58"/>
    </row>
    <row r="82" spans="1:18" x14ac:dyDescent="0.25">
      <c r="A82" s="6" t="s">
        <v>120</v>
      </c>
      <c r="B82" s="6" t="s">
        <v>121</v>
      </c>
      <c r="C82" s="7" t="s">
        <v>122</v>
      </c>
      <c r="D82" s="7" t="s">
        <v>123</v>
      </c>
      <c r="E82" s="6" t="s">
        <v>8</v>
      </c>
      <c r="F82" s="6" t="s">
        <v>124</v>
      </c>
      <c r="G82" s="6" t="s">
        <v>154</v>
      </c>
      <c r="H82" s="6" t="s">
        <v>155</v>
      </c>
      <c r="I82" s="6" t="s">
        <v>156</v>
      </c>
      <c r="J82" s="6" t="s">
        <v>157</v>
      </c>
      <c r="K82" s="6" t="s">
        <v>158</v>
      </c>
      <c r="L82" s="6" t="s">
        <v>159</v>
      </c>
      <c r="M82" s="6" t="s">
        <v>160</v>
      </c>
      <c r="N82" s="6" t="s">
        <v>161</v>
      </c>
      <c r="O82" s="6" t="s">
        <v>162</v>
      </c>
      <c r="P82" s="6" t="s">
        <v>163</v>
      </c>
      <c r="Q82" s="7" t="s">
        <v>164</v>
      </c>
      <c r="R82" s="7" t="s">
        <v>125</v>
      </c>
    </row>
    <row r="83" spans="1:18" ht="30" x14ac:dyDescent="0.25">
      <c r="A83" s="2" t="str">
        <f>"PATH"&amp;TEXT(Table71[[#This Row],[Count]],"000")&amp;"."&amp;IF(Table71[[#This Row],[Category]]="Essential","E",IF(Table71[[#This Row],[Category]]="Discretionary","D","O"))</f>
        <v>PATH059.E</v>
      </c>
      <c r="B83" s="2">
        <f>MAX(Table70[Count])+ROWS(INDEX(Table71[Count],1):Table71[[#This Row],[Count]])</f>
        <v>59</v>
      </c>
      <c r="C83" s="5" t="s">
        <v>108</v>
      </c>
      <c r="D83" s="5" t="s">
        <v>1609</v>
      </c>
      <c r="E83" s="5" t="s">
        <v>13</v>
      </c>
      <c r="F83" s="2" t="s">
        <v>127</v>
      </c>
    </row>
    <row r="84" spans="1:18" ht="30" x14ac:dyDescent="0.25">
      <c r="A84" s="2" t="str">
        <f>"PATH"&amp;TEXT(Table71[[#This Row],[Count]],"000")&amp;"."&amp;IF(Table71[[#This Row],[Category]]="Essential","E",IF(Table71[[#This Row],[Category]]="Discretionary","D","O"))</f>
        <v>PATH060.E</v>
      </c>
      <c r="B84" s="2">
        <f>MAX(Table70[Count])+ROWS(INDEX(Table71[Count],1):Table71[[#This Row],[Count]])</f>
        <v>60</v>
      </c>
      <c r="C84" s="5" t="s">
        <v>108</v>
      </c>
      <c r="D84" s="5" t="s">
        <v>1610</v>
      </c>
      <c r="E84" s="5" t="s">
        <v>13</v>
      </c>
      <c r="F84" s="2" t="s">
        <v>127</v>
      </c>
    </row>
    <row r="85" spans="1:18" ht="30" x14ac:dyDescent="0.25">
      <c r="A85" s="2" t="str">
        <f>"PATH"&amp;TEXT(Table71[[#This Row],[Count]],"000")&amp;"."&amp;IF(Table71[[#This Row],[Category]]="Essential","E",IF(Table71[[#This Row],[Category]]="Discretionary","D","O"))</f>
        <v>PATH061.E</v>
      </c>
      <c r="B85" s="2">
        <f>MAX(Table70[Count])+ROWS(INDEX(Table71[Count],1):Table71[[#This Row],[Count]])</f>
        <v>61</v>
      </c>
      <c r="C85" s="5" t="s">
        <v>108</v>
      </c>
      <c r="D85" s="5" t="s">
        <v>1611</v>
      </c>
      <c r="E85" s="5" t="s">
        <v>13</v>
      </c>
      <c r="F85" s="2" t="s">
        <v>127</v>
      </c>
    </row>
    <row r="86" spans="1:18" ht="45" x14ac:dyDescent="0.25">
      <c r="A86" s="2" t="str">
        <f>"PATH"&amp;TEXT(Table71[[#This Row],[Count]],"000")&amp;"."&amp;IF(Table71[[#This Row],[Category]]="Essential","E",IF(Table71[[#This Row],[Category]]="Discretionary","D","O"))</f>
        <v>PATH062.E</v>
      </c>
      <c r="B86" s="2">
        <f>MAX(Table70[Count])+ROWS(INDEX(Table71[Count],1):Table71[[#This Row],[Count]])</f>
        <v>62</v>
      </c>
      <c r="C86" s="5" t="s">
        <v>108</v>
      </c>
      <c r="D86" s="5" t="s">
        <v>1612</v>
      </c>
      <c r="E86" s="5" t="s">
        <v>13</v>
      </c>
      <c r="F86" s="2" t="s">
        <v>127</v>
      </c>
    </row>
    <row r="87" spans="1:18" ht="30" x14ac:dyDescent="0.25">
      <c r="A87" s="2" t="str">
        <f>"PATH"&amp;TEXT(Table71[[#This Row],[Count]],"000")&amp;"."&amp;IF(Table71[[#This Row],[Category]]="Essential","E",IF(Table71[[#This Row],[Category]]="Discretionary","D","O"))</f>
        <v>PATH063.E</v>
      </c>
      <c r="B87" s="2">
        <f>MAX(Table70[Count])+ROWS(INDEX(Table71[Count],1):Table71[[#This Row],[Count]])</f>
        <v>63</v>
      </c>
      <c r="C87" s="5" t="s">
        <v>108</v>
      </c>
      <c r="D87" s="5" t="s">
        <v>1613</v>
      </c>
      <c r="E87" s="5" t="s">
        <v>13</v>
      </c>
      <c r="F87" s="2" t="s">
        <v>127</v>
      </c>
    </row>
    <row r="88" spans="1:18" ht="45" x14ac:dyDescent="0.25">
      <c r="A88" s="2" t="str">
        <f>"PATH"&amp;TEXT(Table71[[#This Row],[Count]],"000")&amp;"."&amp;IF(Table71[[#This Row],[Category]]="Essential","E",IF(Table71[[#This Row],[Category]]="Discretionary","D","O"))</f>
        <v>PATH064.O</v>
      </c>
      <c r="B88" s="2">
        <f>MAX(Table70[Count])+ROWS(INDEX(Table71[Count],1):Table71[[#This Row],[Count]])</f>
        <v>64</v>
      </c>
      <c r="C88" s="5" t="s">
        <v>108</v>
      </c>
      <c r="D88" s="5" t="s">
        <v>1600</v>
      </c>
      <c r="E88" s="2" t="s">
        <v>23</v>
      </c>
      <c r="F88" s="2" t="s">
        <v>127</v>
      </c>
      <c r="R88" s="53" t="s">
        <v>137</v>
      </c>
    </row>
    <row r="89" spans="1:18" ht="30" x14ac:dyDescent="0.25">
      <c r="A89" s="2" t="str">
        <f>"PATH"&amp;TEXT(Table71[[#This Row],[Count]],"000")&amp;"."&amp;IF(Table71[[#This Row],[Category]]="Essential","E",IF(Table71[[#This Row],[Category]]="Discretionary","D","O"))</f>
        <v>PATH065.E</v>
      </c>
      <c r="B89" s="2">
        <f>MAX(Table70[Count])+ROWS(INDEX(Table71[Count],1):Table71[[#This Row],[Count]])</f>
        <v>65</v>
      </c>
      <c r="C89" s="5" t="s">
        <v>108</v>
      </c>
      <c r="D89" s="5" t="s">
        <v>1614</v>
      </c>
      <c r="E89" s="5" t="s">
        <v>13</v>
      </c>
      <c r="H89" s="2" t="s">
        <v>127</v>
      </c>
      <c r="I89" s="2" t="s">
        <v>127</v>
      </c>
      <c r="M89" s="2" t="s">
        <v>127</v>
      </c>
      <c r="N89" s="2" t="s">
        <v>127</v>
      </c>
      <c r="O89" s="2" t="s">
        <v>127</v>
      </c>
    </row>
    <row r="90" spans="1:18" ht="30" x14ac:dyDescent="0.25">
      <c r="A90" s="2" t="str">
        <f>"PATH"&amp;TEXT(Table71[[#This Row],[Count]],"000")&amp;"."&amp;IF(Table71[[#This Row],[Category]]="Essential","E",IF(Table71[[#This Row],[Category]]="Discretionary","D","O"))</f>
        <v>PATH066.E</v>
      </c>
      <c r="B90" s="2">
        <f>MAX(Table70[Count])+ROWS(INDEX(Table71[Count],1):Table71[[#This Row],[Count]])</f>
        <v>66</v>
      </c>
      <c r="C90" s="5" t="s">
        <v>108</v>
      </c>
      <c r="D90" s="5" t="s">
        <v>1615</v>
      </c>
      <c r="E90" s="5" t="s">
        <v>13</v>
      </c>
    </row>
    <row r="91" spans="1:18" x14ac:dyDescent="0.25">
      <c r="A91" s="2" t="str">
        <f>"PATH"&amp;TEXT(Table71[[#This Row],[Count]],"000")&amp;"."&amp;IF(Table71[[#This Row],[Category]]="Essential","E",IF(Table71[[#This Row],[Category]]="Discretionary","D","O"))</f>
        <v>PATH067.E</v>
      </c>
      <c r="B91" s="2">
        <f>MAX(Table70[Count])+ROWS(INDEX(Table71[Count],1):Table71[[#This Row],[Count]])</f>
        <v>67</v>
      </c>
      <c r="C91" s="5" t="s">
        <v>108</v>
      </c>
      <c r="D91" s="5" t="s">
        <v>1616</v>
      </c>
      <c r="E91" s="5" t="s">
        <v>13</v>
      </c>
      <c r="F91" s="2" t="s">
        <v>127</v>
      </c>
    </row>
    <row r="92" spans="1:18" ht="30" x14ac:dyDescent="0.25">
      <c r="A92" s="2" t="str">
        <f>"PATH"&amp;TEXT(Table71[[#This Row],[Count]],"000")&amp;"."&amp;IF(Table71[[#This Row],[Category]]="Essential","E",IF(Table71[[#This Row],[Category]]="Discretionary","D","O"))</f>
        <v>PATH068.E</v>
      </c>
      <c r="B92" s="2">
        <f>MAX(Table70[Count])+ROWS(INDEX(Table71[Count],1):Table71[[#This Row],[Count]])</f>
        <v>68</v>
      </c>
      <c r="C92" s="5" t="s">
        <v>108</v>
      </c>
      <c r="D92" s="5" t="s">
        <v>1617</v>
      </c>
      <c r="E92" s="5" t="s">
        <v>13</v>
      </c>
      <c r="G92" s="2" t="s">
        <v>127</v>
      </c>
      <c r="H92" s="2" t="s">
        <v>127</v>
      </c>
      <c r="M92" s="2" t="s">
        <v>127</v>
      </c>
      <c r="N92" s="2" t="s">
        <v>127</v>
      </c>
      <c r="O92" s="2" t="s">
        <v>127</v>
      </c>
    </row>
    <row r="93" spans="1:18" x14ac:dyDescent="0.25">
      <c r="A93" s="2" t="str">
        <f>"PATH"&amp;TEXT(Table71[[#This Row],[Count]],"000")&amp;"."&amp;IF(Table71[[#This Row],[Category]]="Essential","E",IF(Table71[[#This Row],[Category]]="Discretionary","D","O"))</f>
        <v>PATH069.E</v>
      </c>
      <c r="B93" s="2">
        <f>MAX(Table70[Count])+ROWS(INDEX(Table71[Count],1):Table71[[#This Row],[Count]])</f>
        <v>69</v>
      </c>
      <c r="C93" s="5" t="s">
        <v>108</v>
      </c>
      <c r="D93" s="5" t="s">
        <v>1618</v>
      </c>
      <c r="E93" s="5" t="s">
        <v>13</v>
      </c>
      <c r="F93" s="2" t="s">
        <v>127</v>
      </c>
    </row>
    <row r="94" spans="1:18" x14ac:dyDescent="0.25">
      <c r="A94" s="2" t="str">
        <f>"PATH"&amp;TEXT(Table71[[#This Row],[Count]],"000")&amp;"."&amp;IF(Table71[[#This Row],[Category]]="Essential","E",IF(Table71[[#This Row],[Category]]="Discretionary","D","O"))</f>
        <v>PATH070.E</v>
      </c>
      <c r="B94" s="2">
        <f>MAX(Table70[Count])+ROWS(INDEX(Table71[Count],1):Table71[[#This Row],[Count]])</f>
        <v>70</v>
      </c>
      <c r="C94" s="5" t="s">
        <v>108</v>
      </c>
      <c r="D94" s="5" t="s">
        <v>1619</v>
      </c>
      <c r="E94" s="5" t="s">
        <v>13</v>
      </c>
      <c r="F94" s="2" t="s">
        <v>127</v>
      </c>
    </row>
    <row r="95" spans="1:18" x14ac:dyDescent="0.25">
      <c r="A95" s="2" t="str">
        <f>"PATH"&amp;TEXT(Table71[[#This Row],[Count]],"000")&amp;"."&amp;IF(Table71[[#This Row],[Category]]="Essential","E",IF(Table71[[#This Row],[Category]]="Discretionary","D","O"))</f>
        <v>PATH071.E</v>
      </c>
      <c r="B95" s="2">
        <f>MAX(Table70[Count])+ROWS(INDEX(Table71[Count],1):Table71[[#This Row],[Count]])</f>
        <v>71</v>
      </c>
      <c r="C95" s="5" t="s">
        <v>108</v>
      </c>
      <c r="D95" s="5" t="s">
        <v>1620</v>
      </c>
      <c r="E95" s="5" t="s">
        <v>13</v>
      </c>
      <c r="F95" s="2" t="s">
        <v>127</v>
      </c>
    </row>
    <row r="97" spans="1:18" x14ac:dyDescent="0.25">
      <c r="A97" s="58" t="s">
        <v>112</v>
      </c>
      <c r="B97" s="58"/>
      <c r="C97" s="58"/>
      <c r="D97" s="58"/>
      <c r="E97" s="58"/>
      <c r="F97" s="58"/>
      <c r="G97" s="58"/>
      <c r="H97" s="58"/>
      <c r="I97" s="58"/>
      <c r="J97" s="58"/>
      <c r="K97" s="58"/>
      <c r="L97" s="58"/>
      <c r="M97" s="58"/>
      <c r="N97" s="58"/>
      <c r="O97" s="58"/>
      <c r="P97" s="58"/>
      <c r="Q97" s="58"/>
      <c r="R97" s="58"/>
    </row>
    <row r="99" spans="1:18" x14ac:dyDescent="0.25">
      <c r="A99" s="6" t="s">
        <v>120</v>
      </c>
      <c r="B99" s="6" t="s">
        <v>121</v>
      </c>
      <c r="C99" s="7" t="s">
        <v>122</v>
      </c>
      <c r="D99" s="7" t="s">
        <v>123</v>
      </c>
      <c r="E99" s="6" t="s">
        <v>8</v>
      </c>
      <c r="F99" s="6" t="s">
        <v>124</v>
      </c>
      <c r="G99" s="6" t="s">
        <v>154</v>
      </c>
      <c r="H99" s="6" t="s">
        <v>155</v>
      </c>
      <c r="I99" s="6" t="s">
        <v>156</v>
      </c>
      <c r="J99" s="6" t="s">
        <v>157</v>
      </c>
      <c r="K99" s="6" t="s">
        <v>158</v>
      </c>
      <c r="L99" s="6" t="s">
        <v>159</v>
      </c>
      <c r="M99" s="6" t="s">
        <v>160</v>
      </c>
      <c r="N99" s="6" t="s">
        <v>161</v>
      </c>
      <c r="O99" s="6" t="s">
        <v>162</v>
      </c>
      <c r="P99" s="6" t="s">
        <v>163</v>
      </c>
      <c r="Q99" s="7" t="s">
        <v>164</v>
      </c>
      <c r="R99" s="7" t="s">
        <v>125</v>
      </c>
    </row>
    <row r="100" spans="1:18" ht="30" x14ac:dyDescent="0.25">
      <c r="A100" s="2" t="str">
        <f>"PATH"&amp;TEXT(Table72[[#This Row],[Count]],"000")&amp;"."&amp;IF(Table72[[#This Row],[Category]]="Essential","E",IF(Table72[[#This Row],[Category]]="Discretionary","D","O"))</f>
        <v>PATH072.E</v>
      </c>
      <c r="B100" s="2">
        <f>MAX(Table71[Count])+ROWS(INDEX(Table72[Count],1):Table72[[#This Row],[Count]])</f>
        <v>72</v>
      </c>
      <c r="C100" s="5" t="s">
        <v>112</v>
      </c>
      <c r="D100" s="5" t="s">
        <v>1621</v>
      </c>
      <c r="E100" s="5" t="s">
        <v>13</v>
      </c>
      <c r="K100" s="2" t="s">
        <v>127</v>
      </c>
      <c r="L100" s="2" t="s">
        <v>127</v>
      </c>
      <c r="M100" s="2" t="s">
        <v>127</v>
      </c>
      <c r="N100" s="2" t="s">
        <v>127</v>
      </c>
      <c r="R100" s="5" t="s">
        <v>1622</v>
      </c>
    </row>
    <row r="101" spans="1:18" ht="30" x14ac:dyDescent="0.25">
      <c r="A101" s="2" t="str">
        <f>"PATH"&amp;TEXT(Table72[[#This Row],[Count]],"000")&amp;"."&amp;IF(Table72[[#This Row],[Category]]="Essential","E",IF(Table72[[#This Row],[Category]]="Discretionary","D","O"))</f>
        <v>PATH073.E</v>
      </c>
      <c r="B101" s="2">
        <f>MAX(Table71[Count])+ROWS(INDEX(Table72[Count],1):Table72[[#This Row],[Count]])</f>
        <v>73</v>
      </c>
      <c r="C101" s="5" t="s">
        <v>112</v>
      </c>
      <c r="D101" s="5" t="s">
        <v>1623</v>
      </c>
      <c r="E101" s="2" t="s">
        <v>13</v>
      </c>
      <c r="L101" s="2" t="s">
        <v>127</v>
      </c>
      <c r="M101" s="2" t="s">
        <v>127</v>
      </c>
      <c r="N101" s="2" t="s">
        <v>127</v>
      </c>
      <c r="O101" s="2" t="s">
        <v>127</v>
      </c>
    </row>
    <row r="102" spans="1:18" ht="30" x14ac:dyDescent="0.25">
      <c r="A102" s="2" t="str">
        <f>"PATH"&amp;TEXT(Table72[[#This Row],[Count]],"000")&amp;"."&amp;IF(Table72[[#This Row],[Category]]="Essential","E",IF(Table72[[#This Row],[Category]]="Discretionary","D","O"))</f>
        <v>PATH074.E</v>
      </c>
      <c r="B102" s="2">
        <f>MAX(Table71[Count])+ROWS(INDEX(Table72[Count],1):Table72[[#This Row],[Count]])</f>
        <v>74</v>
      </c>
      <c r="C102" s="5" t="s">
        <v>112</v>
      </c>
      <c r="D102" s="5" t="s">
        <v>1624</v>
      </c>
      <c r="E102" s="2" t="s">
        <v>13</v>
      </c>
      <c r="K102" s="2" t="s">
        <v>127</v>
      </c>
      <c r="L102" s="2" t="s">
        <v>127</v>
      </c>
      <c r="M102" s="2" t="s">
        <v>127</v>
      </c>
      <c r="N102" s="2" t="s">
        <v>127</v>
      </c>
      <c r="O102" s="2" t="s">
        <v>127</v>
      </c>
    </row>
    <row r="103" spans="1:18" ht="30" x14ac:dyDescent="0.25">
      <c r="A103" s="2" t="str">
        <f>"PATH"&amp;TEXT(Table72[[#This Row],[Count]],"000")&amp;"."&amp;IF(Table72[[#This Row],[Category]]="Essential","E",IF(Table72[[#This Row],[Category]]="Discretionary","D","O"))</f>
        <v>PATH075.E</v>
      </c>
      <c r="B103" s="2">
        <f>MAX(Table71[Count])+ROWS(INDEX(Table72[Count],1):Table72[[#This Row],[Count]])</f>
        <v>75</v>
      </c>
      <c r="C103" s="5" t="s">
        <v>112</v>
      </c>
      <c r="D103" s="5" t="s">
        <v>1625</v>
      </c>
      <c r="E103" s="2" t="s">
        <v>13</v>
      </c>
      <c r="K103" s="2" t="s">
        <v>127</v>
      </c>
      <c r="L103" s="2" t="s">
        <v>127</v>
      </c>
      <c r="M103" s="2" t="s">
        <v>127</v>
      </c>
      <c r="N103" s="2" t="s">
        <v>127</v>
      </c>
      <c r="R103" s="5" t="s">
        <v>1626</v>
      </c>
    </row>
    <row r="104" spans="1:18" ht="42" customHeight="1" x14ac:dyDescent="0.25">
      <c r="A104" s="2" t="str">
        <f>"PATH"&amp;TEXT(Table72[[#This Row],[Count]],"000")&amp;"."&amp;IF(Table72[[#This Row],[Category]]="Essential","E",IF(Table72[[#This Row],[Category]]="Discretionary","D","O"))</f>
        <v>PATH076.O</v>
      </c>
      <c r="B104" s="2">
        <f>MAX(Table71[Count])+ROWS(INDEX(Table72[Count],1):Table72[[#This Row],[Count]])</f>
        <v>76</v>
      </c>
      <c r="C104" s="5" t="s">
        <v>112</v>
      </c>
      <c r="D104" s="5" t="s">
        <v>1627</v>
      </c>
      <c r="E104" s="2" t="s">
        <v>1628</v>
      </c>
      <c r="K104" s="2" t="s">
        <v>127</v>
      </c>
      <c r="L104" s="2" t="s">
        <v>127</v>
      </c>
      <c r="M104" s="2" t="s">
        <v>127</v>
      </c>
      <c r="N104" s="2" t="s">
        <v>127</v>
      </c>
      <c r="O104" s="2" t="s">
        <v>127</v>
      </c>
      <c r="R104" s="5" t="s">
        <v>1629</v>
      </c>
    </row>
    <row r="105" spans="1:18" ht="45" x14ac:dyDescent="0.25">
      <c r="A105" s="2" t="str">
        <f>"PATH"&amp;TEXT(Table72[[#This Row],[Count]],"000")&amp;"."&amp;IF(Table72[[#This Row],[Category]]="Essential","E",IF(Table72[[#This Row],[Category]]="Discretionary","D","O"))</f>
        <v>PATH077.O</v>
      </c>
      <c r="B105" s="2">
        <f>MAX(Table71[Count])+ROWS(INDEX(Table72[Count],1):Table72[[#This Row],[Count]])</f>
        <v>77</v>
      </c>
      <c r="C105" s="5" t="s">
        <v>112</v>
      </c>
      <c r="D105" s="5" t="s">
        <v>1630</v>
      </c>
      <c r="E105" s="2" t="s">
        <v>1628</v>
      </c>
      <c r="F105" s="2" t="s">
        <v>127</v>
      </c>
      <c r="R105" s="5" t="s">
        <v>1631</v>
      </c>
    </row>
    <row r="106" spans="1:18" ht="45" x14ac:dyDescent="0.25">
      <c r="A106" s="2" t="str">
        <f>"PATH"&amp;TEXT(Table72[[#This Row],[Count]],"000")&amp;"."&amp;IF(Table72[[#This Row],[Category]]="Essential","E",IF(Table72[[#This Row],[Category]]="Discretionary","D","O"))</f>
        <v>PATH078.O</v>
      </c>
      <c r="B106" s="2">
        <f>MAX(Table71[Count])+ROWS(INDEX(Table72[Count],1):Table72[[#This Row],[Count]])</f>
        <v>78</v>
      </c>
      <c r="C106" s="5" t="s">
        <v>112</v>
      </c>
      <c r="D106" s="5" t="s">
        <v>1632</v>
      </c>
      <c r="E106" s="2" t="s">
        <v>1628</v>
      </c>
      <c r="F106" s="2" t="s">
        <v>127</v>
      </c>
      <c r="R106" s="5" t="s">
        <v>1633</v>
      </c>
    </row>
    <row r="107" spans="1:18" ht="60" x14ac:dyDescent="0.25">
      <c r="A107" s="2" t="str">
        <f>"PATH"&amp;TEXT(Table72[[#This Row],[Count]],"000")&amp;"."&amp;IF(Table72[[#This Row],[Category]]="Essential","E",IF(Table72[[#This Row],[Category]]="Discretionary","D","O"))</f>
        <v>PATH079.O</v>
      </c>
      <c r="B107" s="2">
        <f>MAX(Table71[Count])+ROWS(INDEX(Table72[Count],1):Table72[[#This Row],[Count]])</f>
        <v>79</v>
      </c>
      <c r="C107" s="5" t="s">
        <v>112</v>
      </c>
      <c r="D107" s="5" t="s">
        <v>1634</v>
      </c>
      <c r="E107" s="2" t="s">
        <v>1628</v>
      </c>
      <c r="F107" s="2" t="s">
        <v>127</v>
      </c>
      <c r="R107" s="5" t="s">
        <v>1635</v>
      </c>
    </row>
    <row r="108" spans="1:18" ht="60" x14ac:dyDescent="0.25">
      <c r="A108" s="2" t="str">
        <f>"PATH"&amp;TEXT(Table72[[#This Row],[Count]],"000")&amp;"."&amp;IF(Table72[[#This Row],[Category]]="Essential","E",IF(Table72[[#This Row],[Category]]="Discretionary","D","O"))</f>
        <v>PATH080.O</v>
      </c>
      <c r="B108" s="2">
        <f>MAX(Table71[Count])+ROWS(INDEX(Table72[Count],1):Table72[[#This Row],[Count]])</f>
        <v>80</v>
      </c>
      <c r="C108" s="5" t="s">
        <v>112</v>
      </c>
      <c r="D108" s="5" t="s">
        <v>1636</v>
      </c>
      <c r="E108" s="2" t="s">
        <v>1628</v>
      </c>
      <c r="F108" s="2" t="s">
        <v>127</v>
      </c>
      <c r="R108" s="5" t="s">
        <v>1635</v>
      </c>
    </row>
    <row r="109" spans="1:18" ht="60" x14ac:dyDescent="0.25">
      <c r="A109" s="2" t="str">
        <f>"PATH"&amp;TEXT(Table72[[#This Row],[Count]],"000")&amp;"."&amp;IF(Table72[[#This Row],[Category]]="Essential","E",IF(Table72[[#This Row],[Category]]="Discretionary","D","O"))</f>
        <v>PATH081.O</v>
      </c>
      <c r="B109" s="2">
        <f>MAX(Table71[Count])+ROWS(INDEX(Table72[Count],1):Table72[[#This Row],[Count]])</f>
        <v>81</v>
      </c>
      <c r="C109" s="5" t="s">
        <v>112</v>
      </c>
      <c r="D109" s="5" t="s">
        <v>1637</v>
      </c>
      <c r="E109" s="2" t="s">
        <v>1628</v>
      </c>
      <c r="F109" s="2" t="s">
        <v>127</v>
      </c>
      <c r="R109" s="5" t="s">
        <v>1635</v>
      </c>
    </row>
    <row r="110" spans="1:18" ht="30" x14ac:dyDescent="0.25">
      <c r="A110" s="2" t="str">
        <f>"PATH"&amp;TEXT(Table72[[#This Row],[Count]],"000")&amp;"."&amp;IF(Table72[[#This Row],[Category]]="Essential","E",IF(Table72[[#This Row],[Category]]="Discretionary","D","O"))</f>
        <v>PATH082.O</v>
      </c>
      <c r="B110" s="2">
        <f>MAX(Table71[Count])+ROWS(INDEX(Table72[Count],1):Table72[[#This Row],[Count]])</f>
        <v>82</v>
      </c>
      <c r="C110" s="5" t="s">
        <v>112</v>
      </c>
      <c r="D110" s="5" t="s">
        <v>1638</v>
      </c>
      <c r="E110" s="2" t="s">
        <v>1628</v>
      </c>
      <c r="F110" s="2" t="s">
        <v>127</v>
      </c>
      <c r="R110" s="5" t="s">
        <v>1631</v>
      </c>
    </row>
    <row r="111" spans="1:18" ht="60" x14ac:dyDescent="0.25">
      <c r="A111" s="2" t="str">
        <f>"PATH"&amp;TEXT(Table72[[#This Row],[Count]],"000")&amp;"."&amp;IF(Table72[[#This Row],[Category]]="Essential","E",IF(Table72[[#This Row],[Category]]="Discretionary","D","O"))</f>
        <v>PATH083.O</v>
      </c>
      <c r="B111" s="2">
        <f>MAX(Table71[Count])+ROWS(INDEX(Table72[Count],1):Table72[[#This Row],[Count]])</f>
        <v>83</v>
      </c>
      <c r="C111" s="5" t="s">
        <v>112</v>
      </c>
      <c r="D111" s="5" t="s">
        <v>1639</v>
      </c>
      <c r="E111" s="2" t="s">
        <v>1628</v>
      </c>
      <c r="F111" s="2" t="s">
        <v>127</v>
      </c>
      <c r="R111" s="5" t="s">
        <v>1635</v>
      </c>
    </row>
    <row r="112" spans="1:18" ht="30" x14ac:dyDescent="0.25">
      <c r="A112" s="2" t="str">
        <f>"PATH"&amp;TEXT(Table72[[#This Row],[Count]],"000")&amp;"."&amp;IF(Table72[[#This Row],[Category]]="Essential","E",IF(Table72[[#This Row],[Category]]="Discretionary","D","O"))</f>
        <v>PATH084.O</v>
      </c>
      <c r="B112" s="2">
        <f>MAX(Table71[Count])+ROWS(INDEX(Table72[Count],1):Table72[[#This Row],[Count]])</f>
        <v>84</v>
      </c>
      <c r="C112" s="5" t="s">
        <v>112</v>
      </c>
      <c r="D112" s="5" t="s">
        <v>1640</v>
      </c>
      <c r="E112" s="2" t="s">
        <v>1628</v>
      </c>
      <c r="F112" s="2" t="s">
        <v>127</v>
      </c>
      <c r="R112" s="5" t="s">
        <v>1631</v>
      </c>
    </row>
    <row r="113" spans="1:18" ht="59.25" customHeight="1" x14ac:dyDescent="0.25">
      <c r="A113" s="2" t="str">
        <f>"PATH"&amp;TEXT(Table72[[#This Row],[Count]],"000")&amp;"."&amp;IF(Table72[[#This Row],[Category]]="Essential","E",IF(Table72[[#This Row],[Category]]="Discretionary","D","O"))</f>
        <v>PATH085.O</v>
      </c>
      <c r="B113" s="2">
        <f>MAX(Table71[Count])+ROWS(INDEX(Table72[Count],1):Table72[[#This Row],[Count]])</f>
        <v>85</v>
      </c>
      <c r="C113" s="5" t="s">
        <v>112</v>
      </c>
      <c r="D113" s="5" t="s">
        <v>1641</v>
      </c>
      <c r="E113" s="2" t="s">
        <v>23</v>
      </c>
      <c r="K113" s="2" t="s">
        <v>127</v>
      </c>
      <c r="L113" s="2" t="s">
        <v>127</v>
      </c>
      <c r="M113" s="2" t="s">
        <v>127</v>
      </c>
      <c r="N113" s="2" t="s">
        <v>127</v>
      </c>
      <c r="O113" s="2" t="s">
        <v>127</v>
      </c>
      <c r="R113" s="5" t="s">
        <v>1642</v>
      </c>
    </row>
    <row r="114" spans="1:18" x14ac:dyDescent="0.25">
      <c r="A114" s="2" t="str">
        <f>"PATH"&amp;TEXT(Table72[[#This Row],[Count]],"000")&amp;"."&amp;IF(Table72[[#This Row],[Category]]="Essential","E",IF(Table72[[#This Row],[Category]]="Discretionary","D","O"))</f>
        <v>PATH086.E</v>
      </c>
      <c r="B114" s="2">
        <f>MAX(Table71[Count])+ROWS(INDEX(Table72[Count],1):Table72[[#This Row],[Count]])</f>
        <v>86</v>
      </c>
      <c r="C114" s="5" t="s">
        <v>112</v>
      </c>
      <c r="D114" s="5" t="s">
        <v>1643</v>
      </c>
      <c r="E114" s="2" t="s">
        <v>13</v>
      </c>
      <c r="L114" s="2" t="s">
        <v>127</v>
      </c>
      <c r="M114" s="2" t="s">
        <v>127</v>
      </c>
      <c r="N114" s="2" t="s">
        <v>127</v>
      </c>
      <c r="O114" s="2" t="s">
        <v>127</v>
      </c>
    </row>
    <row r="116" spans="1:18" x14ac:dyDescent="0.25">
      <c r="A116" s="58" t="s">
        <v>115</v>
      </c>
      <c r="B116" s="58"/>
      <c r="C116" s="58"/>
      <c r="D116" s="58"/>
      <c r="E116" s="58"/>
      <c r="F116" s="58"/>
      <c r="G116" s="58"/>
      <c r="H116" s="58"/>
      <c r="I116" s="58"/>
      <c r="J116" s="58"/>
      <c r="K116" s="58"/>
      <c r="L116" s="58"/>
      <c r="M116" s="58"/>
      <c r="N116" s="58"/>
      <c r="O116" s="58"/>
      <c r="P116" s="58"/>
      <c r="Q116" s="58"/>
      <c r="R116" s="58"/>
    </row>
    <row r="118" spans="1:18" x14ac:dyDescent="0.25">
      <c r="A118" s="6" t="s">
        <v>120</v>
      </c>
      <c r="B118" s="6" t="s">
        <v>121</v>
      </c>
      <c r="C118" s="7" t="s">
        <v>122</v>
      </c>
      <c r="D118" s="7" t="s">
        <v>123</v>
      </c>
      <c r="E118" s="6" t="s">
        <v>8</v>
      </c>
      <c r="F118" s="6" t="s">
        <v>124</v>
      </c>
      <c r="G118" s="6" t="s">
        <v>154</v>
      </c>
      <c r="H118" s="6" t="s">
        <v>155</v>
      </c>
      <c r="I118" s="6" t="s">
        <v>156</v>
      </c>
      <c r="J118" s="6" t="s">
        <v>157</v>
      </c>
      <c r="K118" s="6" t="s">
        <v>158</v>
      </c>
      <c r="L118" s="6" t="s">
        <v>159</v>
      </c>
      <c r="M118" s="6" t="s">
        <v>160</v>
      </c>
      <c r="N118" s="6" t="s">
        <v>161</v>
      </c>
      <c r="O118" s="6" t="s">
        <v>162</v>
      </c>
      <c r="P118" s="6" t="s">
        <v>163</v>
      </c>
      <c r="Q118" s="7" t="s">
        <v>164</v>
      </c>
      <c r="R118" s="7" t="s">
        <v>125</v>
      </c>
    </row>
    <row r="119" spans="1:18" ht="30" x14ac:dyDescent="0.25">
      <c r="A119" s="2" t="str">
        <f>"PATH"&amp;TEXT(Table73[[#This Row],[Count]],"000")&amp;"."&amp;IF(Table73[[#This Row],[Category]]="Essential","E",IF(Table73[[#This Row],[Category]]="Discretionary","D","O"))</f>
        <v>PATH087.D</v>
      </c>
      <c r="B119" s="2">
        <f>MAX(Table72[Count])+ROWS(INDEX(Table73[Count],1):Table73[[#This Row],[Count]])</f>
        <v>87</v>
      </c>
      <c r="C119" s="5" t="s">
        <v>115</v>
      </c>
      <c r="D119" s="5" t="s">
        <v>1644</v>
      </c>
      <c r="E119" s="5" t="s">
        <v>18</v>
      </c>
      <c r="F119" s="2" t="s">
        <v>127</v>
      </c>
      <c r="R119" s="5" t="s">
        <v>1645</v>
      </c>
    </row>
  </sheetData>
  <mergeCells count="10">
    <mergeCell ref="A80:R80"/>
    <mergeCell ref="A97:R97"/>
    <mergeCell ref="A116:R116"/>
    <mergeCell ref="A1:R1"/>
    <mergeCell ref="A3:R3"/>
    <mergeCell ref="A14:R14"/>
    <mergeCell ref="A24:R24"/>
    <mergeCell ref="A57:R57"/>
    <mergeCell ref="A62:R62"/>
    <mergeCell ref="A2:R2"/>
  </mergeCells>
  <phoneticPr fontId="3" type="noConversion"/>
  <conditionalFormatting sqref="E6:E398">
    <cfRule type="containsText" dxfId="25" priority="1" operator="containsText" text="Other">
      <formula>NOT(ISERROR(SEARCH("Other",E6)))</formula>
    </cfRule>
    <cfRule type="containsText" dxfId="24" priority="3" operator="containsText" text="Discretionary">
      <formula>NOT(ISERROR(SEARCH("Discretionary",E6)))</formula>
    </cfRule>
    <cfRule type="containsText" dxfId="23" priority="4" operator="containsText" text="Essential">
      <formula>NOT(ISERROR(SEARCH("Essential",E6)))</formula>
    </cfRule>
  </conditionalFormatting>
  <conditionalFormatting sqref="F6:Q398">
    <cfRule type="containsText" dxfId="22" priority="5" operator="containsText" text="x">
      <formula>NOT(ISERROR(SEARCH("x",F6)))</formula>
    </cfRule>
  </conditionalFormatting>
  <dataValidations count="1">
    <dataValidation type="list" allowBlank="1" showInputMessage="1" showErrorMessage="1" sqref="E27:E56 E17:E23 E60 E6:E13 E65:E79 E83:E87 E89:E95 E100 E119" xr:uid="{94A25486-B2D8-40D2-83BB-9536DDAAB25F}">
      <formula1>Cats</formula1>
    </dataValidation>
  </dataValidations>
  <hyperlinks>
    <hyperlink ref="R23" r:id="rId1" display="https://gbr01.safelinks.protection.outlook.com/?url=https%3A%2F%2Fwww.imperialendo.co.uk%2Fcalman149.htm&amp;data=05%7C02%7Cengland.StudyLeave.SW%40nhs.net%7C14eaa8ec44454ad31db808dee8aa6a10%7C37c354b285b047f5b22207b48d774ee3%7C0%7C0%7C639204015831221710%7CUnknown%7CTWFpbGZsb3d8eyJFbXB0eU1hcGkiOnRydWUsIlYiOiIwLjAuMDAwMCIsIlAiOiJXaW4zMiIsIkFOIjoiTWFpbCIsIldUIjoyfQ%3D%3D%7C0%7C%7C%7C&amp;sdata=IlnKyRMzuAEdu38tHS4LS7b6rTRk3734NA2rsPcglPw%3D&amp;reserved=0" xr:uid="{F703CEA2-82AA-4365-BA69-14F74FD00635}"/>
  </hyperlinks>
  <pageMargins left="0.7" right="0.7" top="0.75" bottom="0.75" header="0.3" footer="0.3"/>
  <pageSetup paperSize="9" scale="48" fitToHeight="0" orientation="landscape" r:id="rId2"/>
  <headerFooter>
    <oddFooter>&amp;C&amp;P</oddFooter>
  </headerFooter>
  <tableParts count="8">
    <tablePart r:id="rId3"/>
    <tablePart r:id="rId4"/>
    <tablePart r:id="rId5"/>
    <tablePart r:id="rId6"/>
    <tablePart r:id="rId7"/>
    <tablePart r:id="rId8"/>
    <tablePart r:id="rId9"/>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02CA8-056F-4CC0-907C-E07D6C5C4356}">
  <sheetPr>
    <pageSetUpPr fitToPage="1"/>
  </sheetPr>
  <dimension ref="A1:R23"/>
  <sheetViews>
    <sheetView view="pageLayout" zoomScaleNormal="100" workbookViewId="0">
      <selection activeCell="S1" sqref="S1:S1048576"/>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style="2" customWidth="1"/>
  </cols>
  <sheetData>
    <row r="1" spans="1:18" ht="31.5" x14ac:dyDescent="0.5">
      <c r="A1" s="57" t="s">
        <v>31</v>
      </c>
      <c r="B1" s="57"/>
      <c r="C1" s="57"/>
      <c r="D1" s="57"/>
      <c r="E1" s="57"/>
      <c r="F1" s="57"/>
      <c r="G1" s="57"/>
      <c r="H1" s="57"/>
      <c r="I1" s="57"/>
      <c r="J1" s="57"/>
      <c r="K1" s="57"/>
      <c r="L1" s="57"/>
      <c r="M1" s="57"/>
      <c r="N1" s="57"/>
      <c r="O1" s="57"/>
      <c r="P1" s="57"/>
      <c r="Q1" s="57"/>
      <c r="R1" s="57"/>
    </row>
    <row r="2" spans="1:18" ht="45.75" customHeight="1" x14ac:dyDescent="0.25">
      <c r="A2" s="59" t="s">
        <v>152</v>
      </c>
      <c r="B2" s="59"/>
      <c r="C2" s="59"/>
      <c r="D2" s="59"/>
      <c r="E2" s="59"/>
      <c r="F2" s="59"/>
      <c r="G2" s="59"/>
      <c r="H2" s="59"/>
      <c r="I2" s="59"/>
      <c r="J2" s="59"/>
      <c r="K2" s="59"/>
      <c r="L2" s="59"/>
      <c r="M2" s="59"/>
      <c r="N2" s="59"/>
      <c r="O2" s="59"/>
      <c r="P2" s="59"/>
      <c r="Q2" s="59"/>
      <c r="R2" s="59"/>
    </row>
    <row r="3" spans="1:18" x14ac:dyDescent="0.25">
      <c r="A3" s="58" t="s">
        <v>31</v>
      </c>
      <c r="B3" s="58"/>
      <c r="C3" s="58"/>
      <c r="D3" s="58"/>
      <c r="E3" s="58"/>
      <c r="F3" s="58"/>
      <c r="G3" s="58"/>
      <c r="H3" s="58"/>
      <c r="I3" s="58"/>
      <c r="J3" s="58"/>
      <c r="K3" s="58"/>
      <c r="L3" s="58"/>
      <c r="M3" s="58"/>
      <c r="N3" s="58"/>
      <c r="O3" s="58"/>
      <c r="P3" s="58"/>
      <c r="Q3" s="58"/>
      <c r="R3" s="58"/>
    </row>
    <row r="5" spans="1:18" x14ac:dyDescent="0.25">
      <c r="A5" s="3" t="s">
        <v>120</v>
      </c>
      <c r="B5" s="3" t="s">
        <v>121</v>
      </c>
      <c r="C5" s="6"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"PC"&amp;TEXT(Table74[[#This Row],[Count]],"000")&amp;"."&amp;IF(Table74[[#This Row],[Category]]="Essential","E",IF(Table74[[#This Row],[Category]]="Discretionary","D","O"))</f>
        <v>PC001.E</v>
      </c>
      <c r="B6" s="2">
        <f>ROW()-ROW(Table74[[#Headers],[Count]])</f>
        <v>1</v>
      </c>
      <c r="C6" s="2" t="s">
        <v>31</v>
      </c>
      <c r="D6" s="5" t="s">
        <v>1646</v>
      </c>
      <c r="E6" s="2" t="s">
        <v>13</v>
      </c>
      <c r="F6" s="2" t="s">
        <v>127</v>
      </c>
      <c r="Q6" s="2"/>
      <c r="R6" s="5"/>
    </row>
    <row r="7" spans="1:18" ht="57" customHeight="1" x14ac:dyDescent="0.25">
      <c r="A7" s="2" t="str">
        <f>"PC"&amp;TEXT(Table74[[#This Row],[Count]],"000")&amp;"."&amp;IF(Table74[[#This Row],[Category]]="Essential","E",IF(Table74[[#This Row],[Category]]="Discretionary","D","O"))</f>
        <v>PC002.E</v>
      </c>
      <c r="B7" s="2">
        <f>ROW()-ROW(Table74[[#Headers],[Count]])</f>
        <v>2</v>
      </c>
      <c r="C7" s="2" t="s">
        <v>31</v>
      </c>
      <c r="D7" s="5" t="s">
        <v>1647</v>
      </c>
      <c r="E7" s="2" t="s">
        <v>13</v>
      </c>
      <c r="F7" s="2" t="s">
        <v>127</v>
      </c>
      <c r="Q7" s="2"/>
      <c r="R7" s="5"/>
    </row>
    <row r="8" spans="1:18" x14ac:dyDescent="0.25">
      <c r="A8" s="2" t="str">
        <f>"PC"&amp;TEXT(Table74[[#This Row],[Count]],"000")&amp;"."&amp;IF(Table74[[#This Row],[Category]]="Essential","E",IF(Table74[[#This Row],[Category]]="Discretionary","D","O"))</f>
        <v>PC003.E</v>
      </c>
      <c r="B8" s="2">
        <f>ROW()-ROW(Table74[[#Headers],[Count]])</f>
        <v>3</v>
      </c>
      <c r="C8" s="2" t="s">
        <v>31</v>
      </c>
      <c r="D8" s="5" t="s">
        <v>1648</v>
      </c>
      <c r="E8" s="2" t="s">
        <v>13</v>
      </c>
      <c r="F8" s="2" t="s">
        <v>127</v>
      </c>
      <c r="Q8" s="2"/>
      <c r="R8" s="5"/>
    </row>
    <row r="9" spans="1:18" ht="30" x14ac:dyDescent="0.25">
      <c r="A9" s="2" t="str">
        <f>"PC"&amp;TEXT(Table74[[#This Row],[Count]],"000")&amp;"."&amp;IF(Table74[[#This Row],[Category]]="Essential","E",IF(Table74[[#This Row],[Category]]="Discretionary","D","O"))</f>
        <v>PC004.E</v>
      </c>
      <c r="B9" s="2">
        <f>ROW()-ROW(Table74[[#Headers],[Count]])</f>
        <v>4</v>
      </c>
      <c r="C9" s="2" t="s">
        <v>31</v>
      </c>
      <c r="D9" s="5" t="s">
        <v>1649</v>
      </c>
      <c r="E9" s="2" t="s">
        <v>13</v>
      </c>
      <c r="F9" s="2" t="s">
        <v>127</v>
      </c>
      <c r="Q9" s="2"/>
      <c r="R9" s="5"/>
    </row>
    <row r="10" spans="1:18" ht="45" x14ac:dyDescent="0.25">
      <c r="A10" s="2" t="str">
        <f>"PC"&amp;TEXT(Table74[[#This Row],[Count]],"000")&amp;"."&amp;IF(Table74[[#This Row],[Category]]="Essential","E",IF(Table74[[#This Row],[Category]]="Discretionary","D","O"))</f>
        <v>PC005.O</v>
      </c>
      <c r="B10" s="2">
        <f>ROW()-ROW(Table74[[#Headers],[Count]])</f>
        <v>5</v>
      </c>
      <c r="C10" s="2" t="s">
        <v>31</v>
      </c>
      <c r="D10" s="5" t="s">
        <v>1650</v>
      </c>
      <c r="E10" s="2" t="s">
        <v>23</v>
      </c>
      <c r="F10" s="2" t="s">
        <v>127</v>
      </c>
      <c r="Q10" s="2"/>
      <c r="R10" s="5" t="s">
        <v>1162</v>
      </c>
    </row>
    <row r="11" spans="1:18" ht="75" x14ac:dyDescent="0.25">
      <c r="A11" s="2" t="str">
        <f>"PC"&amp;TEXT(Table74[[#This Row],[Count]],"000")&amp;"."&amp;IF(Table74[[#This Row],[Category]]="Essential","E",IF(Table74[[#This Row],[Category]]="Discretionary","D","O"))</f>
        <v>PC006.E</v>
      </c>
      <c r="B11" s="2">
        <f>ROW()-ROW(Table74[[#Headers],[Count]])</f>
        <v>6</v>
      </c>
      <c r="C11" s="2" t="s">
        <v>31</v>
      </c>
      <c r="D11" s="5" t="s">
        <v>1651</v>
      </c>
      <c r="E11" s="2" t="s">
        <v>13</v>
      </c>
      <c r="F11" s="2" t="s">
        <v>127</v>
      </c>
      <c r="Q11" s="2"/>
      <c r="R11" s="5"/>
    </row>
    <row r="12" spans="1:18" ht="30" x14ac:dyDescent="0.25">
      <c r="A12" s="2" t="str">
        <f>"PC"&amp;TEXT(Table74[[#This Row],[Count]],"000")&amp;"."&amp;IF(Table74[[#This Row],[Category]]="Essential","E",IF(Table74[[#This Row],[Category]]="Discretionary","D","O"))</f>
        <v>PC007.O</v>
      </c>
      <c r="B12" s="2">
        <f>ROW()-ROW(Table74[[#Headers],[Count]])</f>
        <v>7</v>
      </c>
      <c r="C12" s="2" t="s">
        <v>31</v>
      </c>
      <c r="D12" s="5" t="s">
        <v>1652</v>
      </c>
      <c r="E12" s="2" t="s">
        <v>23</v>
      </c>
      <c r="F12" s="2" t="s">
        <v>127</v>
      </c>
      <c r="Q12" s="2"/>
      <c r="R12" s="5" t="s">
        <v>1162</v>
      </c>
    </row>
    <row r="13" spans="1:18" ht="30" x14ac:dyDescent="0.25">
      <c r="A13" s="2" t="str">
        <f>"PC"&amp;TEXT(Table74[[#This Row],[Count]],"000")&amp;"."&amp;IF(Table74[[#This Row],[Category]]="Essential","E",IF(Table74[[#This Row],[Category]]="Discretionary","D","O"))</f>
        <v>PC008.D</v>
      </c>
      <c r="B13" s="2">
        <f>ROW()-ROW(Table74[[#Headers],[Count]])</f>
        <v>8</v>
      </c>
      <c r="C13" s="2" t="s">
        <v>31</v>
      </c>
      <c r="D13" s="5" t="s">
        <v>1653</v>
      </c>
      <c r="E13" s="2" t="s">
        <v>18</v>
      </c>
      <c r="F13" s="2" t="s">
        <v>127</v>
      </c>
      <c r="Q13" s="5"/>
      <c r="R13" s="5" t="s">
        <v>1654</v>
      </c>
    </row>
    <row r="14" spans="1:18" ht="60" x14ac:dyDescent="0.25">
      <c r="A14" s="2" t="str">
        <f>"PC"&amp;TEXT(Table74[[#This Row],[Count]],"000")&amp;"."&amp;IF(Table74[[#This Row],[Category]]="Essential","E",IF(Table74[[#This Row],[Category]]="Discretionary","D","O"))</f>
        <v>PC009.D</v>
      </c>
      <c r="B14" s="2">
        <f>ROW()-ROW(Table74[[#Headers],[Count]])</f>
        <v>9</v>
      </c>
      <c r="C14" s="2" t="s">
        <v>31</v>
      </c>
      <c r="D14" s="5" t="s">
        <v>1655</v>
      </c>
      <c r="E14" s="2" t="s">
        <v>18</v>
      </c>
      <c r="F14" s="2" t="s">
        <v>127</v>
      </c>
      <c r="Q14" s="5"/>
      <c r="R14" s="5" t="s">
        <v>1656</v>
      </c>
    </row>
    <row r="15" spans="1:18" ht="30" x14ac:dyDescent="0.25">
      <c r="A15" s="2" t="str">
        <f>"PC"&amp;TEXT(Table74[[#This Row],[Count]],"000")&amp;"."&amp;IF(Table74[[#This Row],[Category]]="Essential","E",IF(Table74[[#This Row],[Category]]="Discretionary","D","O"))</f>
        <v>PC010.O</v>
      </c>
      <c r="B15" s="2">
        <f>ROW()-ROW(Table74[[#Headers],[Count]])</f>
        <v>10</v>
      </c>
      <c r="C15" s="2" t="s">
        <v>31</v>
      </c>
      <c r="D15" s="5" t="s">
        <v>1657</v>
      </c>
      <c r="E15" s="2" t="s">
        <v>23</v>
      </c>
      <c r="F15" s="2" t="s">
        <v>127</v>
      </c>
      <c r="Q15" s="5"/>
      <c r="R15" s="5" t="s">
        <v>1162</v>
      </c>
    </row>
    <row r="16" spans="1:18" ht="60" x14ac:dyDescent="0.25">
      <c r="A16" s="2" t="str">
        <f>"PC"&amp;TEXT(Table74[[#This Row],[Count]],"000")&amp;"."&amp;IF(Table74[[#This Row],[Category]]="Essential","E",IF(Table74[[#This Row],[Category]]="Discretionary","D","O"))</f>
        <v>PC011.O</v>
      </c>
      <c r="B16" s="2">
        <f>ROW()-ROW(Table74[[#Headers],[Count]])</f>
        <v>11</v>
      </c>
      <c r="C16" s="2" t="s">
        <v>31</v>
      </c>
      <c r="D16" s="5" t="s">
        <v>1658</v>
      </c>
      <c r="E16" s="2" t="s">
        <v>23</v>
      </c>
      <c r="F16" s="2" t="s">
        <v>127</v>
      </c>
      <c r="Q16" s="5"/>
      <c r="R16" s="5" t="s">
        <v>1162</v>
      </c>
    </row>
    <row r="17" spans="1:18" ht="30" x14ac:dyDescent="0.25">
      <c r="A17" s="2" t="str">
        <f>"PC"&amp;TEXT(Table74[[#This Row],[Count]],"000")&amp;"."&amp;IF(Table74[[#This Row],[Category]]="Essential","E",IF(Table74[[#This Row],[Category]]="Discretionary","D","O"))</f>
        <v>PC012.O</v>
      </c>
      <c r="B17" s="2">
        <f>ROW()-ROW(Table74[[#Headers],[Count]])</f>
        <v>12</v>
      </c>
      <c r="C17" s="2" t="s">
        <v>31</v>
      </c>
      <c r="D17" s="5" t="s">
        <v>1659</v>
      </c>
      <c r="E17" s="2" t="s">
        <v>23</v>
      </c>
      <c r="F17" s="2" t="s">
        <v>127</v>
      </c>
      <c r="Q17" s="5"/>
      <c r="R17" s="5" t="s">
        <v>1162</v>
      </c>
    </row>
    <row r="18" spans="1:18" ht="30" x14ac:dyDescent="0.25">
      <c r="A18" s="2" t="str">
        <f>"PC"&amp;TEXT(Table74[[#This Row],[Count]],"000")&amp;"."&amp;IF(Table74[[#This Row],[Category]]="Essential","E",IF(Table74[[#This Row],[Category]]="Discretionary","D","O"))</f>
        <v>PC013.E</v>
      </c>
      <c r="B18" s="2">
        <f>ROW()-ROW(Table74[[#Headers],[Count]])</f>
        <v>13</v>
      </c>
      <c r="C18" s="2" t="s">
        <v>31</v>
      </c>
      <c r="D18" s="5" t="s">
        <v>1660</v>
      </c>
      <c r="E18" s="2" t="s">
        <v>13</v>
      </c>
      <c r="L18" s="2" t="s">
        <v>127</v>
      </c>
      <c r="M18" s="2" t="s">
        <v>127</v>
      </c>
      <c r="Q18" s="5"/>
      <c r="R18" s="5" t="s">
        <v>1654</v>
      </c>
    </row>
    <row r="19" spans="1:18" ht="45" x14ac:dyDescent="0.25">
      <c r="A19" s="2" t="str">
        <f>"PC"&amp;TEXT(Table74[[#This Row],[Count]],"000")&amp;"."&amp;IF(Table74[[#This Row],[Category]]="Essential","E",IF(Table74[[#This Row],[Category]]="Discretionary","D","O"))</f>
        <v>PC014.O</v>
      </c>
      <c r="B19" s="2">
        <f>ROW()-ROW(Table74[[#Headers],[Count]])</f>
        <v>14</v>
      </c>
      <c r="C19" s="2" t="s">
        <v>31</v>
      </c>
      <c r="D19" s="5" t="s">
        <v>1661</v>
      </c>
      <c r="E19" s="2" t="s">
        <v>23</v>
      </c>
      <c r="F19" s="2" t="s">
        <v>127</v>
      </c>
      <c r="Q19" s="5"/>
      <c r="R19" s="5" t="s">
        <v>145</v>
      </c>
    </row>
    <row r="20" spans="1:18" ht="45" x14ac:dyDescent="0.25">
      <c r="A20" s="2" t="str">
        <f>"PC"&amp;TEXT(Table74[[#This Row],[Count]],"000")&amp;"."&amp;IF(Table74[[#This Row],[Category]]="Essential","E",IF(Table74[[#This Row],[Category]]="Discretionary","D","O"))</f>
        <v>PC015.O</v>
      </c>
      <c r="B20" s="2">
        <f>ROW()-ROW(Table74[[#Headers],[Count]])</f>
        <v>15</v>
      </c>
      <c r="C20" s="2" t="s">
        <v>31</v>
      </c>
      <c r="D20" s="5" t="s">
        <v>1662</v>
      </c>
      <c r="E20" s="2" t="s">
        <v>23</v>
      </c>
      <c r="F20" s="2" t="s">
        <v>127</v>
      </c>
      <c r="Q20" s="5"/>
      <c r="R20" s="5" t="s">
        <v>145</v>
      </c>
    </row>
    <row r="21" spans="1:18" ht="60" x14ac:dyDescent="0.25">
      <c r="A21" s="2" t="str">
        <f>"PC"&amp;TEXT(Table74[[#This Row],[Count]],"000")&amp;"."&amp;IF(Table74[[#This Row],[Category]]="Essential","E",IF(Table74[[#This Row],[Category]]="Discretionary","D","O"))</f>
        <v>PC016.O</v>
      </c>
      <c r="B21" s="2">
        <f>ROW()-ROW(Table74[[#Headers],[Count]])</f>
        <v>16</v>
      </c>
      <c r="C21" s="2" t="s">
        <v>31</v>
      </c>
      <c r="D21" s="5" t="s">
        <v>1663</v>
      </c>
      <c r="E21" s="2" t="s">
        <v>23</v>
      </c>
      <c r="F21" s="2" t="s">
        <v>127</v>
      </c>
      <c r="Q21" s="5"/>
      <c r="R21" s="5" t="s">
        <v>1162</v>
      </c>
    </row>
    <row r="22" spans="1:18" ht="60" x14ac:dyDescent="0.25">
      <c r="A22" s="2" t="str">
        <f>"PC"&amp;TEXT(Table74[[#This Row],[Count]],"000")&amp;"."&amp;IF(Table74[[#This Row],[Category]]="Essential","E",IF(Table74[[#This Row],[Category]]="Discretionary","D","O"))</f>
        <v>PC017.D</v>
      </c>
      <c r="B22" s="2">
        <f>ROW()-ROW(Table74[[#Headers],[Count]])</f>
        <v>17</v>
      </c>
      <c r="C22" s="2" t="s">
        <v>31</v>
      </c>
      <c r="D22" s="40" t="s">
        <v>1664</v>
      </c>
      <c r="E22" s="2" t="s">
        <v>18</v>
      </c>
      <c r="F22" s="2" t="s">
        <v>127</v>
      </c>
      <c r="Q22" s="5"/>
      <c r="R22" s="40" t="s">
        <v>1665</v>
      </c>
    </row>
    <row r="23" spans="1:18" ht="75" x14ac:dyDescent="0.25">
      <c r="A23" s="2" t="str">
        <f>"PC"&amp;TEXT(Table74[[#This Row],[Count]],"000")&amp;"."&amp;IF(Table74[[#This Row],[Category]]="Essential","E",IF(Table74[[#This Row],[Category]]="Discretionary","D","O"))</f>
        <v>PC018.E</v>
      </c>
      <c r="B23" s="2">
        <f>ROW()-ROW(Table74[[#Headers],[Count]])</f>
        <v>18</v>
      </c>
      <c r="C23" s="2" t="s">
        <v>31</v>
      </c>
      <c r="D23" s="5" t="s">
        <v>1666</v>
      </c>
      <c r="E23" s="2" t="s">
        <v>13</v>
      </c>
      <c r="J23" s="2" t="s">
        <v>127</v>
      </c>
      <c r="K23" s="2" t="s">
        <v>127</v>
      </c>
      <c r="L23" s="2" t="s">
        <v>127</v>
      </c>
      <c r="Q23" s="5"/>
      <c r="R23" s="5" t="s">
        <v>1667</v>
      </c>
    </row>
  </sheetData>
  <mergeCells count="3">
    <mergeCell ref="A1:R1"/>
    <mergeCell ref="A3:R3"/>
    <mergeCell ref="A2:R2"/>
  </mergeCells>
  <conditionalFormatting sqref="E6:E500">
    <cfRule type="containsText" dxfId="21" priority="3" operator="containsText" text="Other">
      <formula>NOT(ISERROR(SEARCH("Other",E6)))</formula>
    </cfRule>
    <cfRule type="containsText" dxfId="20" priority="5" operator="containsText" text="Discretionary">
      <formula>NOT(ISERROR(SEARCH("Discretionary",E6)))</formula>
    </cfRule>
    <cfRule type="containsText" dxfId="19" priority="6" operator="containsText" text="Essential">
      <formula>NOT(ISERROR(SEARCH("Essential",E6)))</formula>
    </cfRule>
  </conditionalFormatting>
  <conditionalFormatting sqref="E10">
    <cfRule type="containsText" dxfId="18" priority="1" operator="containsText" text="x">
      <formula>NOT(ISERROR(SEARCH("x",E10)))</formula>
    </cfRule>
  </conditionalFormatting>
  <conditionalFormatting sqref="E12:E23 E24:P624">
    <cfRule type="containsText" dxfId="17" priority="7" operator="containsText" text="x">
      <formula>NOT(ISERROR(SEARCH("x",E12)))</formula>
    </cfRule>
  </conditionalFormatting>
  <conditionalFormatting sqref="F6:Q23">
    <cfRule type="containsText" dxfId="16" priority="2" operator="containsText" text="x">
      <formula>NOT(ISERROR(SEARCH("x",F6)))</formula>
    </cfRule>
  </conditionalFormatting>
  <dataValidations count="1">
    <dataValidation type="list" allowBlank="1" showInputMessage="1" showErrorMessage="1" sqref="E6:E23" xr:uid="{02B2D13A-2E6C-4617-A34D-CBE64E56FDEF}">
      <formula1>Cats</formula1>
    </dataValidation>
  </dataValidations>
  <pageMargins left="0.7" right="0.7" top="0.75" bottom="0.75" header="0.3" footer="0.3"/>
  <pageSetup paperSize="9" scale="48" fitToHeight="0" orientation="landscape" r:id="rId1"/>
  <headerFooter>
    <oddFooter>&amp;C&amp;P</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DDF8-91D7-40DA-B522-A9E117BCE65F}">
  <sheetPr>
    <pageSetUpPr fitToPage="1"/>
  </sheetPr>
  <dimension ref="A1:S116"/>
  <sheetViews>
    <sheetView view="pageLayout" topLeftCell="D97" zoomScaleNormal="100" workbookViewId="0">
      <selection activeCell="S1" sqref="S1:S1048576"/>
    </sheetView>
  </sheetViews>
  <sheetFormatPr defaultRowHeight="15" x14ac:dyDescent="0.25"/>
  <cols>
    <col min="1" max="1" width="17.42578125" style="2" customWidth="1"/>
    <col min="2" max="2" width="11.140625" style="2" hidden="1" customWidth="1"/>
    <col min="3" max="3" width="25" style="5" customWidth="1"/>
    <col min="4" max="4" width="37.42578125" style="5" customWidth="1"/>
    <col min="5" max="5" width="13.7109375" style="2" bestFit="1" customWidth="1"/>
    <col min="6" max="16" width="9.140625" style="2"/>
    <col min="17" max="17" width="9.140625" style="5" customWidth="1"/>
    <col min="18" max="18" width="68.5703125" style="5" customWidth="1"/>
  </cols>
  <sheetData>
    <row r="1" spans="1:18" ht="31.5" x14ac:dyDescent="0.5">
      <c r="A1" s="57" t="s">
        <v>38</v>
      </c>
      <c r="B1" s="57"/>
      <c r="C1" s="57"/>
      <c r="D1" s="57"/>
      <c r="E1" s="57"/>
      <c r="F1" s="57"/>
      <c r="G1" s="57"/>
      <c r="H1" s="57"/>
      <c r="I1" s="57"/>
      <c r="J1" s="57"/>
      <c r="K1" s="57"/>
      <c r="L1" s="57"/>
      <c r="M1" s="57"/>
      <c r="N1" s="57"/>
      <c r="O1" s="57"/>
      <c r="P1" s="57"/>
      <c r="Q1" s="57"/>
      <c r="R1" s="57"/>
    </row>
    <row r="2" spans="1:18" ht="47.25" customHeight="1" x14ac:dyDescent="0.25">
      <c r="A2" s="59" t="s">
        <v>152</v>
      </c>
      <c r="B2" s="59"/>
      <c r="C2" s="59"/>
      <c r="D2" s="59"/>
      <c r="E2" s="59"/>
      <c r="F2" s="59"/>
      <c r="G2" s="59"/>
      <c r="H2" s="59"/>
      <c r="I2" s="59"/>
      <c r="J2" s="59"/>
      <c r="K2" s="59"/>
      <c r="L2" s="59"/>
      <c r="M2" s="59"/>
      <c r="N2" s="59"/>
      <c r="O2" s="59"/>
      <c r="P2" s="59"/>
      <c r="Q2" s="59"/>
      <c r="R2" s="59"/>
    </row>
    <row r="3" spans="1:18" x14ac:dyDescent="0.25">
      <c r="A3" s="58" t="s">
        <v>41</v>
      </c>
      <c r="B3" s="58"/>
      <c r="C3" s="58"/>
      <c r="D3" s="58"/>
      <c r="E3" s="58"/>
      <c r="F3" s="58"/>
      <c r="G3" s="58"/>
      <c r="H3" s="58"/>
      <c r="I3" s="58"/>
      <c r="J3" s="58"/>
      <c r="K3" s="58"/>
      <c r="L3" s="58"/>
      <c r="M3" s="58"/>
      <c r="N3" s="58"/>
      <c r="O3" s="58"/>
      <c r="P3" s="58"/>
      <c r="Q3" s="58"/>
      <c r="R3" s="58"/>
    </row>
    <row r="5" spans="1:18" x14ac:dyDescent="0.25">
      <c r="A5" s="4" t="s">
        <v>120</v>
      </c>
      <c r="B5" s="4"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ht="105" x14ac:dyDescent="0.25">
      <c r="A6" s="2" t="str">
        <f>"PSYCH"&amp;TEXT(Table75[[#This Row],[Count]],"000")&amp;"."&amp;IF(Table75[[#This Row],[Category]]="Essential","E",IF(Table75[[#This Row],[Category]]="Discretionary","D","O"))</f>
        <v>PSYCH001.E</v>
      </c>
      <c r="B6" s="2">
        <f>ROW()-ROW(Table75[[#Headers],[Count]])</f>
        <v>1</v>
      </c>
      <c r="C6" s="5" t="s">
        <v>41</v>
      </c>
      <c r="D6" s="5" t="s">
        <v>1668</v>
      </c>
      <c r="E6" s="2" t="s">
        <v>13</v>
      </c>
      <c r="M6" s="2" t="s">
        <v>127</v>
      </c>
      <c r="N6" s="2" t="s">
        <v>127</v>
      </c>
      <c r="O6" s="2" t="s">
        <v>127</v>
      </c>
      <c r="P6" s="2" t="s">
        <v>127</v>
      </c>
      <c r="Q6" s="2" t="s">
        <v>127</v>
      </c>
      <c r="R6" s="5" t="s">
        <v>1669</v>
      </c>
    </row>
    <row r="7" spans="1:18" ht="45.75" customHeight="1" x14ac:dyDescent="0.25">
      <c r="A7" s="2" t="str">
        <f>"PSYCH"&amp;TEXT(Table75[[#This Row],[Count]],"000")&amp;"."&amp;IF(Table75[[#This Row],[Category]]="Essential","E",IF(Table75[[#This Row],[Category]]="Discretionary","D","O"))</f>
        <v>PSYCH002.E</v>
      </c>
      <c r="B7" s="2">
        <f>ROW()-ROW(Table75[[#Headers],[Count]])</f>
        <v>2</v>
      </c>
      <c r="C7" s="5" t="s">
        <v>41</v>
      </c>
      <c r="D7" s="5" t="s">
        <v>1670</v>
      </c>
      <c r="E7" s="2" t="s">
        <v>13</v>
      </c>
      <c r="O7" s="2" t="s">
        <v>127</v>
      </c>
      <c r="Q7" s="2" t="s">
        <v>127</v>
      </c>
      <c r="R7" s="5" t="s">
        <v>1671</v>
      </c>
    </row>
    <row r="8" spans="1:18" ht="60" x14ac:dyDescent="0.25">
      <c r="A8" s="2" t="str">
        <f>"PSYCH"&amp;TEXT(Table75[[#This Row],[Count]],"000")&amp;"."&amp;IF(Table75[[#This Row],[Category]]="Essential","E",IF(Table75[[#This Row],[Category]]="Discretionary","D","O"))</f>
        <v>PSYCH003.E</v>
      </c>
      <c r="B8" s="2">
        <f>ROW()-ROW(Table75[[#Headers],[Count]])</f>
        <v>3</v>
      </c>
      <c r="C8" s="5" t="s">
        <v>41</v>
      </c>
      <c r="D8" s="5" t="s">
        <v>1672</v>
      </c>
      <c r="E8" s="2" t="s">
        <v>13</v>
      </c>
      <c r="M8" s="2" t="s">
        <v>127</v>
      </c>
      <c r="N8" s="2" t="s">
        <v>127</v>
      </c>
      <c r="O8" s="2" t="s">
        <v>127</v>
      </c>
      <c r="P8" s="2" t="s">
        <v>127</v>
      </c>
      <c r="Q8" s="2" t="s">
        <v>127</v>
      </c>
      <c r="R8" s="5" t="s">
        <v>1673</v>
      </c>
    </row>
    <row r="9" spans="1:18" ht="30" x14ac:dyDescent="0.25">
      <c r="A9" s="2" t="str">
        <f>"PSYCH"&amp;TEXT(Table75[[#This Row],[Count]],"000")&amp;"."&amp;IF(Table75[[#This Row],[Category]]="Essential","E",IF(Table75[[#This Row],[Category]]="Discretionary","D","O"))</f>
        <v>PSYCH004.E</v>
      </c>
      <c r="B9" s="2">
        <f>ROW()-ROW(Table75[[#Headers],[Count]])</f>
        <v>4</v>
      </c>
      <c r="C9" s="5" t="s">
        <v>41</v>
      </c>
      <c r="D9" s="5" t="s">
        <v>1674</v>
      </c>
      <c r="E9" s="2" t="s">
        <v>13</v>
      </c>
      <c r="M9" s="2" t="s">
        <v>127</v>
      </c>
      <c r="N9" s="2" t="s">
        <v>127</v>
      </c>
      <c r="O9" s="2" t="s">
        <v>127</v>
      </c>
      <c r="P9" s="2" t="s">
        <v>127</v>
      </c>
      <c r="Q9" s="2" t="s">
        <v>127</v>
      </c>
    </row>
    <row r="10" spans="1:18" ht="45" x14ac:dyDescent="0.25">
      <c r="A10" s="2" t="str">
        <f>"PSYCH"&amp;TEXT(Table75[[#This Row],[Count]],"000")&amp;"."&amp;IF(Table75[[#This Row],[Category]]="Essential","E",IF(Table75[[#This Row],[Category]]="Discretionary","D","O"))</f>
        <v>PSYCH005.E</v>
      </c>
      <c r="B10" s="2">
        <f>ROW()-ROW(Table75[[#Headers],[Count]])</f>
        <v>5</v>
      </c>
      <c r="C10" s="5" t="s">
        <v>41</v>
      </c>
      <c r="D10" s="5" t="s">
        <v>1675</v>
      </c>
      <c r="E10" s="2" t="s">
        <v>13</v>
      </c>
      <c r="M10" s="2" t="s">
        <v>127</v>
      </c>
      <c r="N10" s="2" t="s">
        <v>127</v>
      </c>
      <c r="O10" s="2" t="s">
        <v>127</v>
      </c>
      <c r="P10" s="2" t="s">
        <v>127</v>
      </c>
      <c r="Q10" s="2" t="s">
        <v>127</v>
      </c>
      <c r="R10" s="5" t="s">
        <v>1676</v>
      </c>
    </row>
    <row r="11" spans="1:18" ht="30" x14ac:dyDescent="0.25">
      <c r="A11" s="2" t="str">
        <f>"PSYCH"&amp;TEXT(Table75[[#This Row],[Count]],"000")&amp;"."&amp;IF(Table75[[#This Row],[Category]]="Essential","E",IF(Table75[[#This Row],[Category]]="Discretionary","D","O"))</f>
        <v>PSYCH006.O</v>
      </c>
      <c r="B11" s="2">
        <f>ROW()-ROW(Table75[[#Headers],[Count]])</f>
        <v>6</v>
      </c>
      <c r="C11" s="5" t="s">
        <v>41</v>
      </c>
      <c r="D11" s="5" t="s">
        <v>1677</v>
      </c>
      <c r="E11" s="2" t="s">
        <v>23</v>
      </c>
      <c r="M11" s="2" t="s">
        <v>127</v>
      </c>
      <c r="N11" s="2" t="s">
        <v>127</v>
      </c>
      <c r="O11" s="2" t="s">
        <v>127</v>
      </c>
      <c r="P11" s="2" t="s">
        <v>127</v>
      </c>
      <c r="Q11" s="2" t="s">
        <v>127</v>
      </c>
      <c r="R11" s="5" t="s">
        <v>1678</v>
      </c>
    </row>
    <row r="12" spans="1:18" ht="39" customHeight="1" x14ac:dyDescent="0.25">
      <c r="A12" s="2" t="str">
        <f>"PSYCH"&amp;TEXT(Table75[[#This Row],[Count]],"000")&amp;"."&amp;IF(Table75[[#This Row],[Category]]="Essential","E",IF(Table75[[#This Row],[Category]]="Discretionary","D","O"))</f>
        <v>PSYCH007.E</v>
      </c>
      <c r="B12" s="2">
        <f>ROW()-ROW(Table75[[#Headers],[Count]])</f>
        <v>7</v>
      </c>
      <c r="C12" s="5" t="s">
        <v>41</v>
      </c>
      <c r="D12" s="5" t="s">
        <v>1679</v>
      </c>
      <c r="E12" s="2" t="s">
        <v>13</v>
      </c>
      <c r="M12" s="2" t="s">
        <v>127</v>
      </c>
      <c r="N12" s="2" t="s">
        <v>127</v>
      </c>
      <c r="O12" s="2" t="s">
        <v>127</v>
      </c>
      <c r="P12" s="2" t="s">
        <v>127</v>
      </c>
      <c r="Q12" s="2" t="s">
        <v>127</v>
      </c>
    </row>
    <row r="13" spans="1:18" ht="60" x14ac:dyDescent="0.25">
      <c r="A13" s="2" t="str">
        <f>"PSYCH"&amp;TEXT(Table75[[#This Row],[Count]],"000")&amp;"."&amp;IF(Table75[[#This Row],[Category]]="Essential","E",IF(Table75[[#This Row],[Category]]="Discretionary","D","O"))</f>
        <v>PSYCH008.E</v>
      </c>
      <c r="B13" s="2">
        <f>ROW()-ROW(Table75[[#Headers],[Count]])</f>
        <v>8</v>
      </c>
      <c r="C13" s="5" t="s">
        <v>41</v>
      </c>
      <c r="D13" s="5" t="s">
        <v>1680</v>
      </c>
      <c r="E13" s="2" t="s">
        <v>13</v>
      </c>
      <c r="M13" s="2" t="s">
        <v>127</v>
      </c>
      <c r="N13" s="2" t="s">
        <v>127</v>
      </c>
      <c r="O13" s="2" t="s">
        <v>127</v>
      </c>
      <c r="P13" s="2" t="s">
        <v>127</v>
      </c>
      <c r="Q13" s="2" t="s">
        <v>127</v>
      </c>
      <c r="R13" s="5" t="s">
        <v>1681</v>
      </c>
    </row>
    <row r="14" spans="1:18" ht="60" x14ac:dyDescent="0.25">
      <c r="A14" s="2" t="str">
        <f>"PSYCH"&amp;TEXT(Table75[[#This Row],[Count]],"000")&amp;"."&amp;IF(Table75[[#This Row],[Category]]="Essential","E",IF(Table75[[#This Row],[Category]]="Discretionary","D","O"))</f>
        <v>PSYCH009.E</v>
      </c>
      <c r="B14" s="2">
        <f>ROW()-ROW(Table75[[#Headers],[Count]])</f>
        <v>9</v>
      </c>
      <c r="C14" s="5" t="s">
        <v>41</v>
      </c>
      <c r="D14" s="5" t="s">
        <v>1682</v>
      </c>
      <c r="E14" s="2" t="s">
        <v>13</v>
      </c>
      <c r="M14" s="2" t="s">
        <v>127</v>
      </c>
      <c r="N14" s="2" t="s">
        <v>127</v>
      </c>
      <c r="O14" s="2" t="s">
        <v>127</v>
      </c>
      <c r="P14" s="2" t="s">
        <v>127</v>
      </c>
      <c r="Q14" s="2" t="s">
        <v>127</v>
      </c>
      <c r="R14" s="5" t="s">
        <v>1681</v>
      </c>
    </row>
    <row r="15" spans="1:18" ht="60" x14ac:dyDescent="0.25">
      <c r="A15" s="2" t="str">
        <f>"PSYCH"&amp;TEXT(Table75[[#This Row],[Count]],"000")&amp;"."&amp;IF(Table75[[#This Row],[Category]]="Essential","E",IF(Table75[[#This Row],[Category]]="Discretionary","D","O"))</f>
        <v>PSYCH010.E</v>
      </c>
      <c r="B15" s="2">
        <f>ROW()-ROW(Table75[[#Headers],[Count]])</f>
        <v>10</v>
      </c>
      <c r="C15" s="5" t="s">
        <v>41</v>
      </c>
      <c r="D15" s="5" t="s">
        <v>1683</v>
      </c>
      <c r="E15" s="2" t="s">
        <v>13</v>
      </c>
      <c r="M15" s="2" t="s">
        <v>127</v>
      </c>
      <c r="N15" s="2" t="s">
        <v>127</v>
      </c>
      <c r="O15" s="2" t="s">
        <v>127</v>
      </c>
      <c r="P15" s="2" t="s">
        <v>127</v>
      </c>
      <c r="Q15" s="2" t="s">
        <v>127</v>
      </c>
      <c r="R15" s="5" t="s">
        <v>1681</v>
      </c>
    </row>
    <row r="16" spans="1:18" ht="30" x14ac:dyDescent="0.25">
      <c r="A16" s="2" t="str">
        <f>"PSYCH"&amp;TEXT(Table75[[#This Row],[Count]],"000")&amp;"."&amp;IF(Table75[[#This Row],[Category]]="Essential","E",IF(Table75[[#This Row],[Category]]="Discretionary","D","O"))</f>
        <v>PSYCH011.O</v>
      </c>
      <c r="B16" s="2">
        <f>ROW()-ROW(Table75[[#Headers],[Count]])</f>
        <v>11</v>
      </c>
      <c r="C16" s="5" t="s">
        <v>41</v>
      </c>
      <c r="D16" s="5" t="s">
        <v>1684</v>
      </c>
      <c r="E16" s="2" t="s">
        <v>23</v>
      </c>
      <c r="M16" s="2" t="s">
        <v>127</v>
      </c>
      <c r="N16" s="2" t="s">
        <v>127</v>
      </c>
      <c r="O16" s="2" t="s">
        <v>127</v>
      </c>
      <c r="P16" s="2" t="s">
        <v>127</v>
      </c>
      <c r="Q16" s="2" t="s">
        <v>127</v>
      </c>
      <c r="R16" s="5" t="s">
        <v>1162</v>
      </c>
    </row>
    <row r="17" spans="1:18" ht="30" x14ac:dyDescent="0.25">
      <c r="A17" s="2" t="str">
        <f>"PSYCH"&amp;TEXT(Table75[[#This Row],[Count]],"000")&amp;"."&amp;IF(Table75[[#This Row],[Category]]="Essential","E",IF(Table75[[#This Row],[Category]]="Discretionary","D","O"))</f>
        <v>PSYCH012.E</v>
      </c>
      <c r="B17" s="2">
        <f>ROW()-ROW(Table75[[#Headers],[Count]])</f>
        <v>12</v>
      </c>
      <c r="C17" s="5" t="s">
        <v>41</v>
      </c>
      <c r="D17" s="5" t="s">
        <v>1685</v>
      </c>
      <c r="E17" s="2" t="s">
        <v>13</v>
      </c>
      <c r="I17" s="2" t="s">
        <v>127</v>
      </c>
      <c r="L17" s="2" t="s">
        <v>127</v>
      </c>
      <c r="M17" s="2" t="s">
        <v>127</v>
      </c>
      <c r="N17" s="2" t="s">
        <v>127</v>
      </c>
      <c r="O17" s="2" t="s">
        <v>127</v>
      </c>
      <c r="P17" s="2" t="s">
        <v>127</v>
      </c>
      <c r="Q17" s="2" t="s">
        <v>127</v>
      </c>
      <c r="R17" s="5" t="s">
        <v>1686</v>
      </c>
    </row>
    <row r="18" spans="1:18" x14ac:dyDescent="0.25">
      <c r="Q18" s="2"/>
    </row>
    <row r="19" spans="1:18" ht="14.25" customHeight="1" x14ac:dyDescent="0.25">
      <c r="A19" s="58" t="s">
        <v>44</v>
      </c>
      <c r="B19" s="58"/>
      <c r="C19" s="58"/>
      <c r="D19" s="58"/>
      <c r="E19" s="58"/>
      <c r="F19" s="58"/>
      <c r="G19" s="58"/>
      <c r="H19" s="58"/>
      <c r="I19" s="58"/>
      <c r="J19" s="58"/>
      <c r="K19" s="58"/>
      <c r="L19" s="58"/>
      <c r="M19" s="58"/>
      <c r="N19" s="58"/>
      <c r="O19" s="58"/>
      <c r="P19" s="58"/>
      <c r="Q19" s="58"/>
      <c r="R19" s="58"/>
    </row>
    <row r="20" spans="1:18" ht="14.25" customHeight="1" x14ac:dyDescent="0.25"/>
    <row r="21" spans="1:18" s="5" customFormat="1" ht="14.25" customHeight="1" x14ac:dyDescent="0.25">
      <c r="A21" s="6" t="s">
        <v>120</v>
      </c>
      <c r="B21" s="6" t="s">
        <v>121</v>
      </c>
      <c r="C21" s="7" t="s">
        <v>122</v>
      </c>
      <c r="D21" s="7" t="s">
        <v>123</v>
      </c>
      <c r="E21" s="6" t="s">
        <v>8</v>
      </c>
      <c r="F21" s="6" t="s">
        <v>124</v>
      </c>
      <c r="G21" s="6" t="s">
        <v>154</v>
      </c>
      <c r="H21" s="6" t="s">
        <v>155</v>
      </c>
      <c r="I21" s="6" t="s">
        <v>156</v>
      </c>
      <c r="J21" s="6" t="s">
        <v>157</v>
      </c>
      <c r="K21" s="6" t="s">
        <v>158</v>
      </c>
      <c r="L21" s="6" t="s">
        <v>159</v>
      </c>
      <c r="M21" s="6" t="s">
        <v>160</v>
      </c>
      <c r="N21" s="6" t="s">
        <v>161</v>
      </c>
      <c r="O21" s="6" t="s">
        <v>162</v>
      </c>
      <c r="P21" s="6" t="s">
        <v>163</v>
      </c>
      <c r="Q21" s="6" t="s">
        <v>164</v>
      </c>
      <c r="R21" s="7" t="s">
        <v>125</v>
      </c>
    </row>
    <row r="22" spans="1:18" s="5" customFormat="1" ht="39.75" customHeight="1" x14ac:dyDescent="0.25">
      <c r="A22" s="5" t="str">
        <f>"PSYCH"&amp;TEXT(Table76[[#This Row],[Count]],"000")&amp;"."&amp;IF(Table76[[#This Row],[Category]]="Essential","E",IF(Table76[[#This Row],[Category]]="Discretionary","D","O"))</f>
        <v>PSYCH013.O</v>
      </c>
      <c r="B22" s="5">
        <f>MAX(Table75[Count])+ROWS(INDEX(Table76[Count],1):Table76[[#This Row],[Count]])</f>
        <v>13</v>
      </c>
      <c r="C22" s="5" t="s">
        <v>44</v>
      </c>
      <c r="D22" s="5" t="s">
        <v>1687</v>
      </c>
      <c r="E22" s="5" t="s">
        <v>23</v>
      </c>
      <c r="F22" s="5" t="s">
        <v>127</v>
      </c>
      <c r="R22" s="5" t="s">
        <v>1688</v>
      </c>
    </row>
    <row r="23" spans="1:18" s="5" customFormat="1" ht="30.75" customHeight="1" x14ac:dyDescent="0.25">
      <c r="A23" s="5" t="str">
        <f>"PSYCH"&amp;TEXT(Table76[[#This Row],[Count]],"000")&amp;"."&amp;IF(Table76[[#This Row],[Category]]="Essential","E",IF(Table76[[#This Row],[Category]]="Discretionary","D","O"))</f>
        <v>PSYCH014.O</v>
      </c>
      <c r="B23" s="5">
        <f>MAX(Table75[Count])+ROWS(INDEX(Table76[Count],1):Table76[[#This Row],[Count]])</f>
        <v>14</v>
      </c>
      <c r="C23" s="5" t="s">
        <v>44</v>
      </c>
      <c r="D23" s="5" t="s">
        <v>1689</v>
      </c>
      <c r="E23" s="5" t="s">
        <v>23</v>
      </c>
      <c r="F23" s="5" t="s">
        <v>127</v>
      </c>
      <c r="R23" s="5" t="s">
        <v>1690</v>
      </c>
    </row>
    <row r="24" spans="1:18" s="5" customFormat="1" ht="38.25" customHeight="1" x14ac:dyDescent="0.25">
      <c r="A24" s="5" t="str">
        <f>"PSYCH"&amp;TEXT(Table76[[#This Row],[Count]],"000")&amp;"."&amp;IF(Table76[[#This Row],[Category]]="Essential","E",IF(Table76[[#This Row],[Category]]="Discretionary","D","O"))</f>
        <v>PSYCH015.O</v>
      </c>
      <c r="B24" s="5">
        <f>MAX(Table75[Count])+ROWS(INDEX(Table76[Count],1):Table76[[#This Row],[Count]])</f>
        <v>15</v>
      </c>
      <c r="C24" s="5" t="s">
        <v>44</v>
      </c>
      <c r="D24" s="5" t="s">
        <v>1691</v>
      </c>
      <c r="E24" s="5" t="s">
        <v>23</v>
      </c>
      <c r="G24" s="5" t="s">
        <v>127</v>
      </c>
      <c r="H24" s="5" t="s">
        <v>127</v>
      </c>
      <c r="I24" s="5" t="s">
        <v>127</v>
      </c>
      <c r="R24" s="5" t="s">
        <v>1692</v>
      </c>
    </row>
    <row r="25" spans="1:18" s="5" customFormat="1" ht="14.25" customHeight="1" x14ac:dyDescent="0.25">
      <c r="A25" s="5" t="str">
        <f>"PSYCH"&amp;TEXT(Table76[[#This Row],[Count]],"000")&amp;"."&amp;IF(Table76[[#This Row],[Category]]="Essential","E",IF(Table76[[#This Row],[Category]]="Discretionary","D","O"))</f>
        <v>PSYCH016.E</v>
      </c>
      <c r="B25" s="5">
        <f>MAX(Table75[Count])+ROWS(INDEX(Table76[Count],1):Table76[[#This Row],[Count]])</f>
        <v>16</v>
      </c>
      <c r="C25" s="5" t="s">
        <v>44</v>
      </c>
      <c r="D25" s="5" t="s">
        <v>1693</v>
      </c>
      <c r="E25" s="5" t="s">
        <v>13</v>
      </c>
      <c r="I25" s="5" t="s">
        <v>127</v>
      </c>
      <c r="R25" s="5" t="s">
        <v>1694</v>
      </c>
    </row>
    <row r="26" spans="1:18" s="5" customFormat="1" ht="52.5" customHeight="1" x14ac:dyDescent="0.25">
      <c r="A26" s="5" t="str">
        <f>"PSYCH"&amp;TEXT(Table76[[#This Row],[Count]],"000")&amp;"."&amp;IF(Table76[[#This Row],[Category]]="Cat 1","1",IF(Table76[[#This Row],[Category]]="Cat 2","2",IF(Table76[[#This Row],[Category]]="Cat 3","3","O")))</f>
        <v>PSYCH017.O</v>
      </c>
      <c r="B26" s="5">
        <f>MAX(Table75[Count])+ROWS(INDEX(Table76[Count],1):Table76[[#This Row],[Count]])</f>
        <v>17</v>
      </c>
      <c r="C26" s="5" t="s">
        <v>44</v>
      </c>
      <c r="D26" s="5" t="s">
        <v>1695</v>
      </c>
      <c r="E26" s="5" t="s">
        <v>23</v>
      </c>
      <c r="I26" s="5" t="s">
        <v>127</v>
      </c>
      <c r="R26" s="5" t="s">
        <v>1696</v>
      </c>
    </row>
    <row r="27" spans="1:18" ht="14.25" customHeight="1" x14ac:dyDescent="0.25">
      <c r="A27" s="5"/>
      <c r="B27" s="5"/>
      <c r="E27" s="5"/>
      <c r="F27" s="5"/>
      <c r="G27" s="5"/>
      <c r="H27" s="5"/>
      <c r="I27" s="5"/>
      <c r="J27" s="5"/>
      <c r="K27" s="5"/>
      <c r="L27" s="5"/>
      <c r="M27" s="5"/>
      <c r="N27" s="5"/>
      <c r="O27" s="5"/>
      <c r="P27" s="5"/>
    </row>
    <row r="28" spans="1:18" ht="14.25" customHeight="1" x14ac:dyDescent="0.25">
      <c r="A28" s="58" t="s">
        <v>47</v>
      </c>
      <c r="B28" s="58"/>
      <c r="C28" s="58"/>
      <c r="D28" s="58"/>
      <c r="E28" s="58"/>
      <c r="F28" s="58"/>
      <c r="G28" s="58"/>
      <c r="H28" s="58"/>
      <c r="I28" s="58"/>
      <c r="J28" s="58"/>
      <c r="K28" s="58"/>
      <c r="L28" s="58"/>
      <c r="M28" s="58"/>
      <c r="N28" s="58"/>
      <c r="O28" s="58"/>
      <c r="P28" s="58"/>
      <c r="Q28" s="58"/>
      <c r="R28" s="58"/>
    </row>
    <row r="29" spans="1:18" ht="14.25" customHeight="1" x14ac:dyDescent="0.25"/>
    <row r="30" spans="1:18" ht="14.25" customHeight="1" x14ac:dyDescent="0.25">
      <c r="A30" s="6" t="s">
        <v>120</v>
      </c>
      <c r="B30" s="6" t="s">
        <v>121</v>
      </c>
      <c r="C30" s="7" t="s">
        <v>122</v>
      </c>
      <c r="D30" s="7" t="s">
        <v>123</v>
      </c>
      <c r="E30" s="6" t="s">
        <v>8</v>
      </c>
      <c r="F30" s="6" t="s">
        <v>124</v>
      </c>
      <c r="G30" s="6" t="s">
        <v>154</v>
      </c>
      <c r="H30" s="6" t="s">
        <v>155</v>
      </c>
      <c r="I30" s="6" t="s">
        <v>156</v>
      </c>
      <c r="J30" s="6" t="s">
        <v>157</v>
      </c>
      <c r="K30" s="6" t="s">
        <v>158</v>
      </c>
      <c r="L30" s="6" t="s">
        <v>159</v>
      </c>
      <c r="M30" s="6" t="s">
        <v>160</v>
      </c>
      <c r="N30" s="6" t="s">
        <v>161</v>
      </c>
      <c r="O30" s="6" t="s">
        <v>162</v>
      </c>
      <c r="P30" s="6" t="s">
        <v>163</v>
      </c>
      <c r="Q30" s="6" t="s">
        <v>164</v>
      </c>
      <c r="R30" s="7" t="s">
        <v>125</v>
      </c>
    </row>
    <row r="31" spans="1:18" ht="14.25" customHeight="1" x14ac:dyDescent="0.25">
      <c r="A31" s="5" t="str">
        <f>"PSYCH"&amp;TEXT(Table77[[#This Row],[Count]],"000")&amp;"."&amp;IF(Table77[[#This Row],[Category]]="Essential","E",IF(Table77[[#This Row],[Category]]="Discretionary","D","O"))</f>
        <v>PSYCH018.E</v>
      </c>
      <c r="B31" s="5">
        <f>MAX(Table76[Count])+ROWS(INDEX(Table77[Count],1):Table77[[#This Row],[Count]])</f>
        <v>18</v>
      </c>
      <c r="C31" s="5" t="s">
        <v>47</v>
      </c>
      <c r="D31" s="5" t="s">
        <v>1670</v>
      </c>
      <c r="E31" s="5" t="s">
        <v>13</v>
      </c>
      <c r="F31" s="5"/>
      <c r="G31" s="5"/>
      <c r="H31" s="5"/>
      <c r="I31" s="5"/>
      <c r="J31" s="5"/>
      <c r="K31" s="5"/>
      <c r="L31" s="5"/>
      <c r="M31" s="5"/>
      <c r="N31" s="5"/>
      <c r="O31" s="5" t="s">
        <v>127</v>
      </c>
      <c r="P31" s="5" t="s">
        <v>127</v>
      </c>
      <c r="Q31" s="5" t="s">
        <v>127</v>
      </c>
      <c r="R31" s="5" t="s">
        <v>1671</v>
      </c>
    </row>
    <row r="32" spans="1:18" ht="26.25" customHeight="1" x14ac:dyDescent="0.25">
      <c r="A32" s="5" t="str">
        <f>"PSYCH"&amp;TEXT(Table77[[#This Row],[Count]],"000")&amp;"."&amp;IF(Table77[[#This Row],[Category]]="Essential","E",IF(Table77[[#This Row],[Category]]="Discretionary","D","O"))</f>
        <v>PSYCH019.E</v>
      </c>
      <c r="B32" s="5">
        <f>MAX(Table76[Count])+ROWS(INDEX(Table77[Count],1):Table77[[#This Row],[Count]])</f>
        <v>19</v>
      </c>
      <c r="C32" s="5" t="s">
        <v>47</v>
      </c>
      <c r="D32" s="5" t="s">
        <v>1697</v>
      </c>
      <c r="E32" s="5" t="s">
        <v>13</v>
      </c>
      <c r="F32" s="5" t="s">
        <v>127</v>
      </c>
      <c r="G32" s="5"/>
      <c r="H32" s="5"/>
      <c r="I32" s="5"/>
      <c r="J32" s="5"/>
      <c r="K32" s="5"/>
      <c r="L32" s="5"/>
      <c r="M32" s="5" t="s">
        <v>127</v>
      </c>
      <c r="N32" s="5" t="s">
        <v>127</v>
      </c>
      <c r="O32" s="5" t="s">
        <v>127</v>
      </c>
      <c r="P32" s="5"/>
      <c r="R32" s="5" t="s">
        <v>1673</v>
      </c>
    </row>
    <row r="33" spans="1:19" ht="30" customHeight="1" x14ac:dyDescent="0.25">
      <c r="A33" s="5" t="str">
        <f>"PSYCH"&amp;TEXT(Table77[[#This Row],[Count]],"000")&amp;"."&amp;IF(Table77[[#This Row],[Category]]="Essential","E",IF(Table77[[#This Row],[Category]]="Discretionary","D","O"))</f>
        <v>PSYCH020.E</v>
      </c>
      <c r="B33" s="5">
        <f>MAX(Table76[Count])+ROWS(INDEX(Table77[Count],1):Table77[[#This Row],[Count]])</f>
        <v>20</v>
      </c>
      <c r="C33" s="5" t="s">
        <v>47</v>
      </c>
      <c r="D33" s="5" t="s">
        <v>1698</v>
      </c>
      <c r="E33" s="5" t="s">
        <v>13</v>
      </c>
      <c r="F33" s="5" t="s">
        <v>127</v>
      </c>
      <c r="G33" s="5"/>
      <c r="H33" s="5"/>
      <c r="I33" s="5"/>
      <c r="J33" s="5"/>
      <c r="K33" s="5"/>
      <c r="L33" s="5"/>
      <c r="M33" s="5" t="s">
        <v>127</v>
      </c>
      <c r="N33" s="5" t="s">
        <v>127</v>
      </c>
      <c r="O33" s="5" t="s">
        <v>127</v>
      </c>
      <c r="P33" s="5"/>
      <c r="R33" s="5" t="s">
        <v>1699</v>
      </c>
    </row>
    <row r="34" spans="1:19" x14ac:dyDescent="0.25">
      <c r="A34" s="5" t="str">
        <f>"PSYCH"&amp;TEXT(Table77[[#This Row],[Count]],"000")&amp;"."&amp;IF(Table77[[#This Row],[Category]]="Essential","E",IF(Table77[[#This Row],[Category]]="Discretionary","D","O"))</f>
        <v>PSYCH021.O</v>
      </c>
      <c r="B34" s="5">
        <f>MAX(Table76[Count])+ROWS(INDEX(Table77[Count],1):Table77[[#This Row],[Count]])</f>
        <v>21</v>
      </c>
      <c r="C34" s="5" t="s">
        <v>47</v>
      </c>
      <c r="D34" s="5" t="s">
        <v>1700</v>
      </c>
      <c r="E34" s="5" t="s">
        <v>23</v>
      </c>
      <c r="F34" s="5"/>
      <c r="G34" s="5"/>
      <c r="H34" s="5"/>
      <c r="I34" s="5"/>
      <c r="J34" s="5"/>
      <c r="K34" s="5"/>
      <c r="L34" s="5"/>
      <c r="M34" s="5" t="s">
        <v>127</v>
      </c>
      <c r="N34" s="5" t="s">
        <v>127</v>
      </c>
      <c r="O34" s="5" t="s">
        <v>127</v>
      </c>
      <c r="P34" s="5"/>
      <c r="R34" s="5" t="s">
        <v>1162</v>
      </c>
    </row>
    <row r="35" spans="1:19" ht="57" customHeight="1" x14ac:dyDescent="0.25">
      <c r="A35" s="5" t="str">
        <f>"PSYCH"&amp;TEXT(Table77[[#This Row],[Count]],"000")&amp;"."&amp;IF(Table77[[#This Row],[Category]]="Essential","E",IF(Table77[[#This Row],[Category]]="Discretionary","D","O"))</f>
        <v>PSYCH022.E</v>
      </c>
      <c r="B35" s="5">
        <f>MAX(Table76[Count])+ROWS(INDEX(Table77[Count],1):Table77[[#This Row],[Count]])</f>
        <v>22</v>
      </c>
      <c r="C35" s="5" t="s">
        <v>47</v>
      </c>
      <c r="D35" s="5" t="s">
        <v>1701</v>
      </c>
      <c r="E35" s="5" t="s">
        <v>13</v>
      </c>
      <c r="F35" s="5"/>
      <c r="G35" s="5"/>
      <c r="H35" s="5"/>
      <c r="I35" s="5"/>
      <c r="J35" s="5"/>
      <c r="K35" s="5"/>
      <c r="L35" s="5"/>
      <c r="M35" s="5" t="s">
        <v>127</v>
      </c>
      <c r="N35" s="5" t="s">
        <v>127</v>
      </c>
      <c r="O35" s="5" t="s">
        <v>127</v>
      </c>
      <c r="P35" s="5"/>
    </row>
    <row r="36" spans="1:19" ht="30.75" customHeight="1" x14ac:dyDescent="0.25">
      <c r="A36" s="5" t="str">
        <f>"PSYCH"&amp;TEXT(Table77[[#This Row],[Count]],"000")&amp;"."&amp;IF(Table77[[#This Row],[Category]]="Essential","E",IF(Table77[[#This Row],[Category]]="Discretionary","D","O"))</f>
        <v>PSYCH023.O</v>
      </c>
      <c r="B36" s="5">
        <f>MAX(Table76[Count])+ROWS(INDEX(Table77[Count],1):Table77[[#This Row],[Count]])</f>
        <v>23</v>
      </c>
      <c r="C36" s="5" t="s">
        <v>47</v>
      </c>
      <c r="D36" s="5" t="s">
        <v>1677</v>
      </c>
      <c r="E36" s="5" t="s">
        <v>23</v>
      </c>
      <c r="F36" s="5"/>
      <c r="G36" s="5"/>
      <c r="H36" s="5"/>
      <c r="I36" s="5"/>
      <c r="J36" s="5"/>
      <c r="K36" s="5"/>
      <c r="L36" s="5"/>
      <c r="M36" s="5" t="s">
        <v>127</v>
      </c>
      <c r="N36" s="5" t="s">
        <v>127</v>
      </c>
      <c r="O36" s="5" t="s">
        <v>127</v>
      </c>
      <c r="P36" s="5"/>
      <c r="R36" s="5" t="s">
        <v>1702</v>
      </c>
    </row>
    <row r="37" spans="1:19" ht="14.25" customHeight="1" x14ac:dyDescent="0.25">
      <c r="A37" s="5" t="str">
        <f>"PSYCH"&amp;TEXT(Table77[[#This Row],[Count]],"000")&amp;"."&amp;IF(Table77[[#This Row],[Category]]="Essential","E",IF(Table77[[#This Row],[Category]]="Discretionary","D","O"))</f>
        <v>PSYCH024.O</v>
      </c>
      <c r="B37" s="5">
        <f>MAX(Table76[Count])+ROWS(INDEX(Table77[Count],1):Table77[[#This Row],[Count]])</f>
        <v>24</v>
      </c>
      <c r="C37" s="5" t="s">
        <v>47</v>
      </c>
      <c r="D37" s="5" t="s">
        <v>1703</v>
      </c>
      <c r="E37" s="5" t="s">
        <v>23</v>
      </c>
      <c r="F37" s="5"/>
      <c r="G37" s="5"/>
      <c r="H37" s="5"/>
      <c r="I37" s="5"/>
      <c r="J37" s="5"/>
      <c r="K37" s="5"/>
      <c r="L37" s="5"/>
      <c r="M37" s="5" t="s">
        <v>127</v>
      </c>
      <c r="N37" s="5" t="s">
        <v>127</v>
      </c>
      <c r="O37" s="5" t="s">
        <v>127</v>
      </c>
      <c r="P37" s="5"/>
      <c r="R37" s="5" t="s">
        <v>1704</v>
      </c>
    </row>
    <row r="38" spans="1:19" ht="44.25" customHeight="1" x14ac:dyDescent="0.25">
      <c r="A38" s="5" t="str">
        <f>"PSYCH"&amp;TEXT(Table77[[#This Row],[Count]],"000")&amp;"."&amp;IF(Table77[[#This Row],[Category]]="Essential","E",IF(Table77[[#This Row],[Category]]="Discretionary","D","O"))</f>
        <v>PSYCH025.O</v>
      </c>
      <c r="B38" s="5">
        <f>MAX(Table76[Count])+ROWS(INDEX(Table77[Count],1):Table77[[#This Row],[Count]])</f>
        <v>25</v>
      </c>
      <c r="C38" s="5" t="s">
        <v>47</v>
      </c>
      <c r="D38" s="5" t="s">
        <v>1705</v>
      </c>
      <c r="E38" s="5" t="s">
        <v>23</v>
      </c>
      <c r="F38" s="5"/>
      <c r="G38" s="5"/>
      <c r="H38" s="5"/>
      <c r="I38" s="5"/>
      <c r="J38" s="5"/>
      <c r="K38" s="5"/>
      <c r="L38" s="5"/>
      <c r="M38" s="5" t="s">
        <v>127</v>
      </c>
      <c r="N38" s="5" t="s">
        <v>127</v>
      </c>
      <c r="O38" s="5" t="s">
        <v>127</v>
      </c>
      <c r="P38" s="5"/>
      <c r="R38" s="5" t="s">
        <v>1162</v>
      </c>
      <c r="S38" s="5"/>
    </row>
    <row r="39" spans="1:19" ht="36" customHeight="1" x14ac:dyDescent="0.25">
      <c r="A39" s="5" t="str">
        <f>"PSYCH"&amp;TEXT(Table77[[#This Row],[Count]],"000")&amp;"."&amp;IF(Table77[[#This Row],[Category]]="Essential","E",IF(Table77[[#This Row],[Category]]="Discretionary","D","O"))</f>
        <v>PSYCH026.O</v>
      </c>
      <c r="B39" s="5">
        <f>MAX(Table76[Count])+ROWS(INDEX(Table77[Count],1):Table77[[#This Row],[Count]])</f>
        <v>26</v>
      </c>
      <c r="C39" s="5" t="s">
        <v>47</v>
      </c>
      <c r="D39" s="5" t="s">
        <v>1706</v>
      </c>
      <c r="E39" s="5" t="s">
        <v>23</v>
      </c>
      <c r="F39" s="5"/>
      <c r="G39" s="5"/>
      <c r="H39" s="5"/>
      <c r="I39" s="5"/>
      <c r="J39" s="5"/>
      <c r="K39" s="5"/>
      <c r="L39" s="5"/>
      <c r="M39" s="5" t="s">
        <v>127</v>
      </c>
      <c r="N39" s="5" t="s">
        <v>127</v>
      </c>
      <c r="O39" s="5" t="s">
        <v>127</v>
      </c>
      <c r="P39" s="5"/>
      <c r="R39" s="5" t="s">
        <v>1707</v>
      </c>
    </row>
    <row r="40" spans="1:19" ht="14.25" customHeight="1" x14ac:dyDescent="0.25">
      <c r="A40" s="5" t="str">
        <f>"PSYCH"&amp;TEXT(Table77[[#This Row],[Count]],"000")&amp;"."&amp;IF(Table77[[#This Row],[Category]]="Essential","E",IF(Table77[[#This Row],[Category]]="Discretionary","D","O"))</f>
        <v>PSYCH027.O</v>
      </c>
      <c r="B40" s="5">
        <f>MAX(Table76[Count])+ROWS(INDEX(Table77[Count],1):Table77[[#This Row],[Count]])</f>
        <v>27</v>
      </c>
      <c r="C40" s="5" t="s">
        <v>47</v>
      </c>
      <c r="D40" s="5" t="s">
        <v>1708</v>
      </c>
      <c r="E40" s="5" t="s">
        <v>23</v>
      </c>
      <c r="F40" s="5"/>
      <c r="G40" s="5"/>
      <c r="H40" s="5"/>
      <c r="I40" s="5"/>
      <c r="J40" s="5"/>
      <c r="K40" s="5"/>
      <c r="L40" s="5"/>
      <c r="M40" s="5" t="s">
        <v>127</v>
      </c>
      <c r="N40" s="5" t="s">
        <v>127</v>
      </c>
      <c r="O40" s="5" t="s">
        <v>127</v>
      </c>
      <c r="P40" s="5"/>
      <c r="R40" s="5" t="s">
        <v>1707</v>
      </c>
    </row>
    <row r="41" spans="1:19" ht="30.75" customHeight="1" x14ac:dyDescent="0.25">
      <c r="A41" s="5" t="str">
        <f>"PSYCH"&amp;TEXT(Table77[[#This Row],[Count]],"000")&amp;"."&amp;IF(Table77[[#This Row],[Category]]="Essential","E",IF(Table77[[#This Row],[Category]]="Discretionary","D","O"))</f>
        <v>PSYCH028.O</v>
      </c>
      <c r="B41" s="5">
        <f>MAX(Table76[Count])+ROWS(INDEX(Table77[Count],1):Table77[[#This Row],[Count]])</f>
        <v>28</v>
      </c>
      <c r="C41" s="5" t="s">
        <v>47</v>
      </c>
      <c r="D41" s="5" t="s">
        <v>1709</v>
      </c>
      <c r="E41" s="5" t="s">
        <v>23</v>
      </c>
      <c r="F41" s="5"/>
      <c r="G41" s="5"/>
      <c r="H41" s="5"/>
      <c r="I41" s="5"/>
      <c r="J41" s="5"/>
      <c r="K41" s="5"/>
      <c r="L41" s="5"/>
      <c r="M41" s="5" t="s">
        <v>127</v>
      </c>
      <c r="N41" s="5" t="s">
        <v>127</v>
      </c>
      <c r="O41" s="5" t="s">
        <v>127</v>
      </c>
      <c r="P41" s="5"/>
      <c r="R41" s="5" t="s">
        <v>1162</v>
      </c>
    </row>
    <row r="42" spans="1:19" ht="30.75" customHeight="1" x14ac:dyDescent="0.25">
      <c r="A42" s="5" t="str">
        <f>"PSYCH"&amp;TEXT(Table77[[#This Row],[Count]],"000")&amp;"."&amp;IF(Table77[[#This Row],[Category]]="Essential","E",IF(Table77[[#This Row],[Category]]="Discretionary","D","O"))</f>
        <v>PSYCH029.E</v>
      </c>
      <c r="B42" s="5">
        <f>MAX(Table76[Count])+ROWS(INDEX(Table77[Count],1):Table77[[#This Row],[Count]])</f>
        <v>29</v>
      </c>
      <c r="C42" s="5" t="s">
        <v>47</v>
      </c>
      <c r="D42" s="5" t="s">
        <v>1710</v>
      </c>
      <c r="E42" s="5" t="s">
        <v>13</v>
      </c>
      <c r="F42" s="5"/>
      <c r="G42" s="5"/>
      <c r="H42" s="5"/>
      <c r="I42" s="5"/>
      <c r="J42" s="5"/>
      <c r="K42" s="5"/>
      <c r="L42" s="5"/>
      <c r="M42" s="5"/>
      <c r="N42" s="5" t="s">
        <v>127</v>
      </c>
      <c r="O42" s="5" t="s">
        <v>127</v>
      </c>
      <c r="P42" s="5"/>
      <c r="R42" s="5" t="s">
        <v>1711</v>
      </c>
    </row>
    <row r="43" spans="1:19" ht="87.75" customHeight="1" x14ac:dyDescent="0.25">
      <c r="A43" s="5" t="str">
        <f>"PSYCH"&amp;TEXT(Table77[[#This Row],[Count]],"000")&amp;"."&amp;IF(Table77[[#This Row],[Category]]="Essential","E",IF(Table77[[#This Row],[Category]]="Discretionary","D","O"))</f>
        <v>PSYCH030.O</v>
      </c>
      <c r="B43" s="5">
        <f>MAX(Table76[Count])+ROWS(INDEX(Table77[Count],1):Table77[[#This Row],[Count]])</f>
        <v>30</v>
      </c>
      <c r="C43" s="5" t="s">
        <v>47</v>
      </c>
      <c r="D43" s="5" t="s">
        <v>1683</v>
      </c>
      <c r="E43" s="5" t="s">
        <v>23</v>
      </c>
      <c r="F43" s="5"/>
      <c r="G43" s="5"/>
      <c r="H43" s="5"/>
      <c r="I43" s="5"/>
      <c r="J43" s="5"/>
      <c r="K43" s="5"/>
      <c r="L43" s="5"/>
      <c r="M43" s="5" t="s">
        <v>127</v>
      </c>
      <c r="N43" s="5" t="s">
        <v>127</v>
      </c>
      <c r="O43" s="5" t="s">
        <v>127</v>
      </c>
      <c r="P43" s="5"/>
      <c r="R43" s="5" t="s">
        <v>1712</v>
      </c>
    </row>
    <row r="44" spans="1:19" ht="14.25" customHeight="1" x14ac:dyDescent="0.25">
      <c r="A44" s="5" t="str">
        <f>"PSYCH"&amp;TEXT(Table77[[#This Row],[Count]],"000")&amp;"."&amp;IF(Table77[[#This Row],[Category]]="Essential","E",IF(Table77[[#This Row],[Category]]="Discretionary","D","O"))</f>
        <v>PSYCH031.E</v>
      </c>
      <c r="B44" s="5">
        <f>MAX(Table76[Count])+ROWS(INDEX(Table77[Count],1):Table77[[#This Row],[Count]])</f>
        <v>31</v>
      </c>
      <c r="C44" s="5" t="s">
        <v>47</v>
      </c>
      <c r="D44" s="5" t="s">
        <v>1713</v>
      </c>
      <c r="E44" s="5" t="s">
        <v>13</v>
      </c>
      <c r="F44" s="5"/>
      <c r="G44" s="5"/>
      <c r="H44" s="5"/>
      <c r="I44" s="5"/>
      <c r="J44" s="5"/>
      <c r="K44" s="5"/>
      <c r="L44" s="5"/>
      <c r="M44" s="5" t="s">
        <v>127</v>
      </c>
      <c r="N44" s="5" t="s">
        <v>127</v>
      </c>
      <c r="O44" s="5" t="s">
        <v>127</v>
      </c>
      <c r="P44" s="5"/>
      <c r="R44" s="5" t="s">
        <v>1686</v>
      </c>
    </row>
    <row r="45" spans="1:19" ht="14.25" customHeight="1" x14ac:dyDescent="0.25">
      <c r="A45" s="5" t="str">
        <f>"PSYCH"&amp;TEXT(Table77[[#This Row],[Count]],"000")&amp;"."&amp;IF(Table77[[#This Row],[Category]]="Essential","E",IF(Table77[[#This Row],[Category]]="Discretionary","D","O"))</f>
        <v>PSYCH032.O</v>
      </c>
      <c r="B45" s="5">
        <f>MAX(Table76[Count])+ROWS(INDEX(Table77[Count],1):Table77[[#This Row],[Count]])</f>
        <v>32</v>
      </c>
      <c r="C45" s="5" t="s">
        <v>47</v>
      </c>
      <c r="D45" s="5" t="s">
        <v>1714</v>
      </c>
      <c r="E45" s="5" t="s">
        <v>23</v>
      </c>
      <c r="F45" s="5"/>
      <c r="G45" s="5"/>
      <c r="H45" s="5"/>
      <c r="I45" s="5"/>
      <c r="J45" s="5"/>
      <c r="K45" s="5"/>
      <c r="L45" s="5"/>
      <c r="M45" s="5" t="s">
        <v>127</v>
      </c>
      <c r="N45" s="5" t="s">
        <v>127</v>
      </c>
      <c r="O45" s="5" t="s">
        <v>127</v>
      </c>
      <c r="P45" s="5"/>
      <c r="R45" s="5" t="s">
        <v>1707</v>
      </c>
    </row>
    <row r="46" spans="1:19" ht="14.25" customHeight="1" x14ac:dyDescent="0.25">
      <c r="A46" s="5" t="str">
        <f>"PSYCH"&amp;TEXT(Table77[[#This Row],[Count]],"000")&amp;"."&amp;IF(Table77[[#This Row],[Category]]="Essential","E",IF(Table77[[#This Row],[Category]]="Discretionary","D","O"))</f>
        <v>PSYCH033.O</v>
      </c>
      <c r="B46" s="5">
        <f>MAX(Table76[Count])+ROWS(INDEX(Table77[Count],1):Table77[[#This Row],[Count]])</f>
        <v>33</v>
      </c>
      <c r="C46" s="5" t="s">
        <v>47</v>
      </c>
      <c r="D46" s="5" t="s">
        <v>1715</v>
      </c>
      <c r="E46" s="5" t="s">
        <v>23</v>
      </c>
      <c r="F46" s="5"/>
      <c r="G46" s="5"/>
      <c r="H46" s="5"/>
      <c r="I46" s="5"/>
      <c r="J46" s="5"/>
      <c r="K46" s="5"/>
      <c r="L46" s="5"/>
      <c r="M46" s="5" t="s">
        <v>127</v>
      </c>
      <c r="N46" s="5" t="s">
        <v>127</v>
      </c>
      <c r="O46" s="5" t="s">
        <v>127</v>
      </c>
      <c r="P46" s="5"/>
      <c r="R46" s="5" t="s">
        <v>1707</v>
      </c>
    </row>
    <row r="47" spans="1:19" x14ac:dyDescent="0.25">
      <c r="A47" s="5"/>
      <c r="B47" s="5"/>
      <c r="E47" s="5"/>
      <c r="F47" s="5"/>
      <c r="G47" s="5"/>
      <c r="H47" s="5"/>
      <c r="I47" s="5"/>
      <c r="J47" s="5"/>
      <c r="K47" s="5"/>
      <c r="L47" s="5"/>
      <c r="M47" s="5"/>
      <c r="N47" s="5"/>
      <c r="O47" s="5"/>
      <c r="P47" s="5"/>
    </row>
    <row r="48" spans="1:19" x14ac:dyDescent="0.25">
      <c r="A48" s="58" t="s">
        <v>51</v>
      </c>
      <c r="B48" s="58"/>
      <c r="C48" s="58"/>
      <c r="D48" s="58"/>
      <c r="E48" s="58"/>
      <c r="F48" s="58"/>
      <c r="G48" s="58"/>
      <c r="H48" s="58"/>
      <c r="I48" s="58"/>
      <c r="J48" s="58"/>
      <c r="K48" s="58"/>
      <c r="L48" s="58"/>
      <c r="M48" s="58"/>
      <c r="N48" s="58"/>
      <c r="O48" s="58"/>
      <c r="P48" s="58"/>
      <c r="Q48" s="58"/>
      <c r="R48" s="58"/>
    </row>
    <row r="50" spans="1:18" x14ac:dyDescent="0.25">
      <c r="A50" s="6" t="s">
        <v>120</v>
      </c>
      <c r="B50" s="6" t="s">
        <v>121</v>
      </c>
      <c r="C50" s="7" t="s">
        <v>122</v>
      </c>
      <c r="D50" s="7" t="s">
        <v>123</v>
      </c>
      <c r="E50" s="6" t="s">
        <v>8</v>
      </c>
      <c r="F50" s="6" t="s">
        <v>124</v>
      </c>
      <c r="G50" s="6" t="s">
        <v>154</v>
      </c>
      <c r="H50" s="6" t="s">
        <v>155</v>
      </c>
      <c r="I50" s="6" t="s">
        <v>156</v>
      </c>
      <c r="J50" s="6" t="s">
        <v>157</v>
      </c>
      <c r="K50" s="6" t="s">
        <v>158</v>
      </c>
      <c r="L50" s="6" t="s">
        <v>159</v>
      </c>
      <c r="M50" s="6" t="s">
        <v>160</v>
      </c>
      <c r="N50" s="6" t="s">
        <v>161</v>
      </c>
      <c r="O50" s="6" t="s">
        <v>162</v>
      </c>
      <c r="P50" s="6" t="s">
        <v>163</v>
      </c>
      <c r="Q50" s="6" t="s">
        <v>164</v>
      </c>
      <c r="R50" s="7" t="s">
        <v>125</v>
      </c>
    </row>
    <row r="51" spans="1:18" x14ac:dyDescent="0.25">
      <c r="A51" s="5" t="str">
        <f>"PSYCH"&amp;TEXT(Table78[[#This Row],[Count]],"000")&amp;"."&amp;IF(Table78[[#This Row],[Category]]="Essential","E",IF(Table78[[#This Row],[Category]]="Discretionary","D","O"))</f>
        <v>PSYCH034.D</v>
      </c>
      <c r="B51" s="5">
        <f>MAX(Table77[Count])+ROWS(INDEX(Table78[Count],1):Table78[[#This Row],[Count]])</f>
        <v>34</v>
      </c>
      <c r="C51" s="5" t="s">
        <v>51</v>
      </c>
      <c r="D51" s="5" t="s">
        <v>1716</v>
      </c>
      <c r="E51" s="5" t="s">
        <v>18</v>
      </c>
      <c r="F51" s="5"/>
      <c r="G51" s="5"/>
      <c r="H51" s="5"/>
      <c r="I51" s="5"/>
      <c r="J51" s="5"/>
      <c r="K51" s="5"/>
      <c r="L51" s="5"/>
      <c r="M51" s="5" t="s">
        <v>127</v>
      </c>
      <c r="N51" s="5" t="s">
        <v>127</v>
      </c>
      <c r="O51" s="5" t="s">
        <v>127</v>
      </c>
      <c r="P51" s="5" t="s">
        <v>127</v>
      </c>
    </row>
    <row r="52" spans="1:18" ht="30" x14ac:dyDescent="0.25">
      <c r="A52" s="5" t="str">
        <f>"PSYCH"&amp;TEXT(Table78[[#This Row],[Count]],"000")&amp;"."&amp;IF(Table78[[#This Row],[Category]]="Essential","E",IF(Table78[[#This Row],[Category]]="Discretionary","D","O"))</f>
        <v>PSYCH035.E</v>
      </c>
      <c r="B52" s="5">
        <f>MAX(Table77[Count])+ROWS(INDEX(Table78[Count],1):Table78[[#This Row],[Count]])</f>
        <v>35</v>
      </c>
      <c r="C52" s="5" t="s">
        <v>51</v>
      </c>
      <c r="D52" s="5" t="s">
        <v>1670</v>
      </c>
      <c r="E52" s="5" t="s">
        <v>13</v>
      </c>
      <c r="F52" s="5"/>
      <c r="G52" s="5"/>
      <c r="H52" s="5"/>
      <c r="I52" s="5"/>
      <c r="J52" s="5"/>
      <c r="K52" s="5"/>
      <c r="L52" s="5"/>
      <c r="M52" s="5"/>
      <c r="N52" s="5"/>
      <c r="O52" s="5" t="s">
        <v>127</v>
      </c>
      <c r="P52" s="5" t="s">
        <v>127</v>
      </c>
      <c r="Q52" s="5" t="s">
        <v>127</v>
      </c>
      <c r="R52" s="5" t="s">
        <v>1671</v>
      </c>
    </row>
    <row r="53" spans="1:18" ht="30" x14ac:dyDescent="0.25">
      <c r="A53" s="5" t="str">
        <f>"PSYCH"&amp;TEXT(Table78[[#This Row],[Count]],"000")&amp;"."&amp;IF(Table78[[#This Row],[Category]]="Essential","E",IF(Table78[[#This Row],[Category]]="Discretionary","D","O"))</f>
        <v>PSYCH036.E</v>
      </c>
      <c r="B53" s="5">
        <f>MAX(Table77[Count])+ROWS(INDEX(Table78[Count],1):Table78[[#This Row],[Count]])</f>
        <v>36</v>
      </c>
      <c r="C53" s="5" t="s">
        <v>51</v>
      </c>
      <c r="D53" s="5" t="s">
        <v>1697</v>
      </c>
      <c r="E53" s="5" t="s">
        <v>13</v>
      </c>
      <c r="F53" s="5"/>
      <c r="G53" s="5"/>
      <c r="H53" s="5"/>
      <c r="I53" s="5"/>
      <c r="J53" s="5"/>
      <c r="K53" s="5"/>
      <c r="L53" s="5"/>
      <c r="M53" s="5" t="s">
        <v>127</v>
      </c>
      <c r="N53" s="5" t="s">
        <v>127</v>
      </c>
      <c r="O53" s="5" t="s">
        <v>127</v>
      </c>
      <c r="P53" s="5" t="s">
        <v>127</v>
      </c>
      <c r="Q53" s="5" t="s">
        <v>127</v>
      </c>
      <c r="R53" s="5" t="s">
        <v>1673</v>
      </c>
    </row>
    <row r="54" spans="1:18" ht="30" x14ac:dyDescent="0.25">
      <c r="A54" s="5" t="str">
        <f>"PSYCH"&amp;TEXT(Table78[[#This Row],[Count]],"000")&amp;"."&amp;IF(Table78[[#This Row],[Category]]="Essential","E",IF(Table78[[#This Row],[Category]]="Discretionary","D","O"))</f>
        <v>PSYCH037.E</v>
      </c>
      <c r="B54" s="5">
        <f>MAX(Table77[Count])+ROWS(INDEX(Table78[Count],1):Table78[[#This Row],[Count]])</f>
        <v>37</v>
      </c>
      <c r="C54" s="5" t="s">
        <v>51</v>
      </c>
      <c r="D54" s="5" t="s">
        <v>1717</v>
      </c>
      <c r="E54" s="5" t="s">
        <v>13</v>
      </c>
      <c r="F54" s="5"/>
      <c r="G54" s="5"/>
      <c r="H54" s="5"/>
      <c r="I54" s="5"/>
      <c r="J54" s="5"/>
      <c r="K54" s="5"/>
      <c r="L54" s="5"/>
      <c r="M54" s="5" t="s">
        <v>127</v>
      </c>
      <c r="N54" s="5" t="s">
        <v>127</v>
      </c>
      <c r="O54" s="5" t="s">
        <v>127</v>
      </c>
      <c r="P54" s="5" t="s">
        <v>127</v>
      </c>
      <c r="Q54" s="5" t="s">
        <v>127</v>
      </c>
      <c r="R54" s="5" t="s">
        <v>1718</v>
      </c>
    </row>
    <row r="55" spans="1:18" ht="30" x14ac:dyDescent="0.25">
      <c r="A55" s="5" t="str">
        <f>"PSYCH"&amp;TEXT(Table78[[#This Row],[Count]],"000")&amp;"."&amp;IF(Table78[[#This Row],[Category]]="Essential","E",IF(Table78[[#This Row],[Category]]="Discretionary","D","O"))</f>
        <v>PSYCH038.E</v>
      </c>
      <c r="B55" s="5">
        <f>MAX(Table77[Count])+ROWS(INDEX(Table78[Count],1):Table78[[#This Row],[Count]])</f>
        <v>38</v>
      </c>
      <c r="C55" s="5" t="s">
        <v>51</v>
      </c>
      <c r="D55" s="5" t="s">
        <v>1719</v>
      </c>
      <c r="E55" s="5" t="s">
        <v>13</v>
      </c>
      <c r="F55" s="5"/>
      <c r="G55" s="5"/>
      <c r="H55" s="5"/>
      <c r="I55" s="5"/>
      <c r="J55" s="5"/>
      <c r="K55" s="5"/>
      <c r="L55" s="5"/>
      <c r="M55" s="5" t="s">
        <v>127</v>
      </c>
      <c r="N55" s="5" t="s">
        <v>127</v>
      </c>
      <c r="O55" s="5" t="s">
        <v>127</v>
      </c>
      <c r="P55" s="5" t="s">
        <v>127</v>
      </c>
    </row>
    <row r="56" spans="1:18" ht="30" x14ac:dyDescent="0.25">
      <c r="A56" s="5" t="str">
        <f>"PSYCH"&amp;TEXT(Table78[[#This Row],[Count]],"000")&amp;"."&amp;IF(Table78[[#This Row],[Category]]="Essential","E",IF(Table78[[#This Row],[Category]]="Discretionary","D","O"))</f>
        <v>PSYCH039.E</v>
      </c>
      <c r="B56" s="5">
        <f>MAX(Table77[Count])+ROWS(INDEX(Table78[Count],1):Table78[[#This Row],[Count]])</f>
        <v>39</v>
      </c>
      <c r="C56" s="5" t="s">
        <v>51</v>
      </c>
      <c r="D56" s="5" t="s">
        <v>1710</v>
      </c>
      <c r="E56" s="5" t="s">
        <v>13</v>
      </c>
      <c r="F56" s="5"/>
      <c r="G56" s="5"/>
      <c r="H56" s="5"/>
      <c r="I56" s="5"/>
      <c r="J56" s="5"/>
      <c r="K56" s="5"/>
      <c r="L56" s="5"/>
      <c r="M56" s="5" t="s">
        <v>127</v>
      </c>
      <c r="N56" s="5" t="s">
        <v>127</v>
      </c>
      <c r="O56" s="5" t="s">
        <v>127</v>
      </c>
      <c r="P56" s="5" t="s">
        <v>127</v>
      </c>
      <c r="R56" s="5" t="s">
        <v>1711</v>
      </c>
    </row>
    <row r="57" spans="1:18" ht="30" x14ac:dyDescent="0.25">
      <c r="A57" s="5" t="str">
        <f>"PSYCH"&amp;TEXT(Table78[[#This Row],[Count]],"000")&amp;"."&amp;IF(Table78[[#This Row],[Category]]="Essential","E",IF(Table78[[#This Row],[Category]]="Discretionary","D","O"))</f>
        <v>PSYCH040.O</v>
      </c>
      <c r="B57" s="5">
        <f>MAX(Table77[Count])+ROWS(INDEX(Table78[Count],1):Table78[[#This Row],[Count]])</f>
        <v>40</v>
      </c>
      <c r="C57" s="5" t="s">
        <v>51</v>
      </c>
      <c r="D57" s="5" t="s">
        <v>1720</v>
      </c>
      <c r="E57" s="5" t="s">
        <v>23</v>
      </c>
      <c r="F57" s="5"/>
      <c r="G57" s="5"/>
      <c r="H57" s="5"/>
      <c r="I57" s="5"/>
      <c r="J57" s="5"/>
      <c r="K57" s="5"/>
      <c r="L57" s="5"/>
      <c r="M57" s="5" t="s">
        <v>127</v>
      </c>
      <c r="N57" s="5" t="s">
        <v>127</v>
      </c>
      <c r="O57" s="5" t="s">
        <v>127</v>
      </c>
      <c r="P57" s="5" t="s">
        <v>127</v>
      </c>
      <c r="R57" s="5" t="s">
        <v>1721</v>
      </c>
    </row>
    <row r="58" spans="1:18" ht="30" x14ac:dyDescent="0.25">
      <c r="A58" s="5" t="str">
        <f>"PSYCH"&amp;TEXT(Table78[[#This Row],[Count]],"000")&amp;"."&amp;IF(Table78[[#This Row],[Category]]="Essential","E",IF(Table78[[#This Row],[Category]]="Discretionary","D","O"))</f>
        <v>PSYCH041.O</v>
      </c>
      <c r="B58" s="5">
        <f>MAX(Table77[Count])+ROWS(INDEX(Table78[Count],1):Table78[[#This Row],[Count]])</f>
        <v>41</v>
      </c>
      <c r="C58" s="5" t="s">
        <v>51</v>
      </c>
      <c r="D58" s="5" t="s">
        <v>1722</v>
      </c>
      <c r="E58" s="5" t="s">
        <v>23</v>
      </c>
      <c r="F58" s="5"/>
      <c r="G58" s="5"/>
      <c r="H58" s="5"/>
      <c r="I58" s="5"/>
      <c r="J58" s="5"/>
      <c r="K58" s="5"/>
      <c r="L58" s="5"/>
      <c r="M58" s="5" t="s">
        <v>127</v>
      </c>
      <c r="N58" s="5" t="s">
        <v>127</v>
      </c>
      <c r="O58" s="5" t="s">
        <v>127</v>
      </c>
      <c r="P58" s="5" t="s">
        <v>127</v>
      </c>
      <c r="R58" s="5" t="s">
        <v>137</v>
      </c>
    </row>
    <row r="59" spans="1:18" ht="60" x14ac:dyDescent="0.25">
      <c r="A59" s="5" t="str">
        <f>"PSYCH"&amp;TEXT(Table78[[#This Row],[Count]],"000")&amp;"."&amp;IF(Table78[[#This Row],[Category]]="Essential","E",IF(Table78[[#This Row],[Category]]="Discretionary","D","O"))</f>
        <v>PSYCH042.O</v>
      </c>
      <c r="B59" s="5">
        <f>MAX(Table77[Count])+ROWS(INDEX(Table78[Count],1):Table78[[#This Row],[Count]])</f>
        <v>42</v>
      </c>
      <c r="C59" s="5" t="s">
        <v>51</v>
      </c>
      <c r="D59" s="5" t="s">
        <v>1691</v>
      </c>
      <c r="E59" s="5" t="s">
        <v>23</v>
      </c>
      <c r="F59" s="5"/>
      <c r="G59" s="5"/>
      <c r="H59" s="5"/>
      <c r="I59" s="5"/>
      <c r="J59" s="5"/>
      <c r="K59" s="5"/>
      <c r="L59" s="5"/>
      <c r="M59" s="5" t="s">
        <v>127</v>
      </c>
      <c r="N59" s="5" t="s">
        <v>127</v>
      </c>
      <c r="O59" s="5" t="s">
        <v>127</v>
      </c>
      <c r="P59" s="5" t="s">
        <v>127</v>
      </c>
      <c r="R59" s="5" t="s">
        <v>1723</v>
      </c>
    </row>
    <row r="60" spans="1:18" x14ac:dyDescent="0.25">
      <c r="A60" s="5" t="str">
        <f>"PSYCH"&amp;TEXT(Table78[[#This Row],[Count]],"000")&amp;"."&amp;IF(Table78[[#This Row],[Category]]="Essential","E",IF(Table78[[#This Row],[Category]]="Discretionary","D","O"))</f>
        <v>PSYCH043.E</v>
      </c>
      <c r="B60" s="5">
        <f>MAX(Table77[Count])+ROWS(INDEX(Table78[Count],1):Table78[[#This Row],[Count]])</f>
        <v>43</v>
      </c>
      <c r="C60" s="5" t="s">
        <v>51</v>
      </c>
      <c r="D60" s="5" t="s">
        <v>1724</v>
      </c>
      <c r="E60" s="5" t="s">
        <v>13</v>
      </c>
      <c r="F60" s="5"/>
      <c r="G60" s="5"/>
      <c r="H60" s="5"/>
      <c r="I60" s="5"/>
      <c r="J60" s="5"/>
      <c r="K60" s="5"/>
      <c r="L60" s="5"/>
      <c r="M60" s="5" t="s">
        <v>127</v>
      </c>
      <c r="N60" s="5" t="s">
        <v>127</v>
      </c>
      <c r="O60" s="5" t="s">
        <v>127</v>
      </c>
      <c r="P60" s="5" t="s">
        <v>127</v>
      </c>
    </row>
    <row r="61" spans="1:18" ht="30" x14ac:dyDescent="0.25">
      <c r="A61" s="5" t="str">
        <f>"PSYCH"&amp;TEXT(Table78[[#This Row],[Count]],"000")&amp;"."&amp;IF(Table78[[#This Row],[Category]]="Essential","E",IF(Table78[[#This Row],[Category]]="Discretionary","D","O"))</f>
        <v>PSYCH044.E</v>
      </c>
      <c r="B61" s="5">
        <f>MAX(Table77[Count])+ROWS(INDEX(Table78[Count],1):Table78[[#This Row],[Count]])</f>
        <v>44</v>
      </c>
      <c r="C61" s="5" t="s">
        <v>51</v>
      </c>
      <c r="D61" s="5" t="s">
        <v>1713</v>
      </c>
      <c r="E61" s="5" t="s">
        <v>13</v>
      </c>
      <c r="F61" s="5"/>
      <c r="G61" s="5"/>
      <c r="H61" s="5"/>
      <c r="I61" s="5"/>
      <c r="J61" s="5"/>
      <c r="K61" s="5"/>
      <c r="L61" s="5"/>
      <c r="M61" s="5" t="s">
        <v>127</v>
      </c>
      <c r="N61" s="5" t="s">
        <v>127</v>
      </c>
      <c r="O61" s="5" t="s">
        <v>127</v>
      </c>
      <c r="P61" s="5" t="s">
        <v>127</v>
      </c>
      <c r="R61" s="5" t="s">
        <v>1686</v>
      </c>
    </row>
    <row r="62" spans="1:18" ht="45" x14ac:dyDescent="0.25">
      <c r="A62" s="5" t="str">
        <f>"PSYCH"&amp;TEXT(Table78[[#This Row],[Count]],"000")&amp;"."&amp;IF(Table78[[#This Row],[Category]]="Essential","E",IF(Table78[[#This Row],[Category]]="Discretionary","D","O"))</f>
        <v>PSYCH045.E</v>
      </c>
      <c r="B62" s="5">
        <f>MAX(Table77[Count])+ROWS(INDEX(Table78[Count],1):Table78[[#This Row],[Count]])</f>
        <v>45</v>
      </c>
      <c r="C62" s="5" t="s">
        <v>51</v>
      </c>
      <c r="D62" s="5" t="s">
        <v>1725</v>
      </c>
      <c r="E62" s="5" t="s">
        <v>13</v>
      </c>
      <c r="F62" s="5"/>
      <c r="G62" s="5"/>
      <c r="H62" s="5"/>
      <c r="I62" s="5"/>
      <c r="J62" s="5"/>
      <c r="K62" s="5"/>
      <c r="L62" s="5"/>
      <c r="M62" s="5" t="s">
        <v>127</v>
      </c>
      <c r="N62" s="5" t="s">
        <v>127</v>
      </c>
      <c r="O62" s="5" t="s">
        <v>127</v>
      </c>
      <c r="P62" s="5" t="s">
        <v>127</v>
      </c>
      <c r="Q62" s="5" t="s">
        <v>127</v>
      </c>
      <c r="R62" s="5" t="s">
        <v>1726</v>
      </c>
    </row>
    <row r="63" spans="1:18" ht="45" x14ac:dyDescent="0.25">
      <c r="A63" s="5" t="str">
        <f>"PSYCH"&amp;TEXT(Table78[[#This Row],[Count]],"000")&amp;"."&amp;IF(Table78[[#This Row],[Category]]="Essential","E",IF(Table78[[#This Row],[Category]]="Discretionary","D","O"))</f>
        <v>PSYCH046.E</v>
      </c>
      <c r="B63" s="5">
        <f>MAX(Table77[Count])+ROWS(INDEX(Table78[Count],1):Table78[[#This Row],[Count]])</f>
        <v>46</v>
      </c>
      <c r="C63" s="5" t="s">
        <v>51</v>
      </c>
      <c r="D63" s="5" t="s">
        <v>1727</v>
      </c>
      <c r="E63" s="5" t="s">
        <v>13</v>
      </c>
      <c r="F63" s="5"/>
      <c r="G63" s="5"/>
      <c r="H63" s="5"/>
      <c r="I63" s="5"/>
      <c r="J63" s="5"/>
      <c r="K63" s="5"/>
      <c r="L63" s="5"/>
      <c r="M63" s="5" t="s">
        <v>127</v>
      </c>
      <c r="N63" s="5" t="s">
        <v>127</v>
      </c>
      <c r="O63" s="5" t="s">
        <v>127</v>
      </c>
      <c r="P63" s="5" t="s">
        <v>127</v>
      </c>
      <c r="Q63" s="5" t="s">
        <v>127</v>
      </c>
      <c r="R63" s="5" t="s">
        <v>1728</v>
      </c>
    </row>
    <row r="64" spans="1:18" ht="30" x14ac:dyDescent="0.25">
      <c r="A64" s="5" t="str">
        <f>"PSYCH"&amp;TEXT(Table78[[#This Row],[Count]],"000")&amp;"."&amp;IF(Table78[[#This Row],[Category]]="Cat 1","1",IF(Table78[[#This Row],[Category]]="Cat 2","2",IF(Table78[[#This Row],[Category]]="Cat 3","3","O")))</f>
        <v>PSYCH047.O</v>
      </c>
      <c r="B64" s="5">
        <f>MAX(Table77[Count])+ROWS(INDEX(Table78[Count],1):Table78[[#This Row],[Count]])</f>
        <v>47</v>
      </c>
      <c r="C64" s="5" t="s">
        <v>51</v>
      </c>
      <c r="D64" s="5" t="s">
        <v>1729</v>
      </c>
      <c r="E64" s="5" t="s">
        <v>13</v>
      </c>
      <c r="F64" s="5" t="s">
        <v>127</v>
      </c>
      <c r="G64" s="5"/>
      <c r="H64" s="5"/>
      <c r="I64" s="5"/>
      <c r="J64" s="5"/>
      <c r="K64" s="5"/>
      <c r="L64" s="5"/>
      <c r="M64" s="5"/>
      <c r="N64" s="5"/>
      <c r="O64" s="5"/>
      <c r="P64" s="5"/>
      <c r="R64" s="5" t="s">
        <v>1730</v>
      </c>
    </row>
    <row r="66" spans="1:18" x14ac:dyDescent="0.25">
      <c r="A66" s="58" t="s">
        <v>54</v>
      </c>
      <c r="B66" s="58"/>
      <c r="C66" s="58"/>
      <c r="D66" s="58"/>
      <c r="E66" s="58"/>
      <c r="F66" s="58"/>
      <c r="G66" s="58"/>
      <c r="H66" s="58"/>
      <c r="I66" s="58"/>
      <c r="J66" s="58"/>
      <c r="K66" s="58"/>
      <c r="L66" s="58"/>
      <c r="M66" s="58"/>
      <c r="N66" s="58"/>
      <c r="O66" s="58"/>
      <c r="P66" s="58"/>
      <c r="Q66" s="58"/>
      <c r="R66" s="58"/>
    </row>
    <row r="68" spans="1:18" x14ac:dyDescent="0.25">
      <c r="A68" s="6" t="s">
        <v>120</v>
      </c>
      <c r="B68" s="6" t="s">
        <v>121</v>
      </c>
      <c r="C68" s="7" t="s">
        <v>122</v>
      </c>
      <c r="D68" s="7" t="s">
        <v>123</v>
      </c>
      <c r="E68" s="6" t="s">
        <v>8</v>
      </c>
      <c r="F68" s="6" t="s">
        <v>124</v>
      </c>
      <c r="G68" s="6" t="s">
        <v>154</v>
      </c>
      <c r="H68" s="6" t="s">
        <v>155</v>
      </c>
      <c r="I68" s="6" t="s">
        <v>156</v>
      </c>
      <c r="J68" s="6" t="s">
        <v>157</v>
      </c>
      <c r="K68" s="6" t="s">
        <v>158</v>
      </c>
      <c r="L68" s="6" t="s">
        <v>159</v>
      </c>
      <c r="M68" s="6" t="s">
        <v>160</v>
      </c>
      <c r="N68" s="6" t="s">
        <v>161</v>
      </c>
      <c r="O68" s="6" t="s">
        <v>162</v>
      </c>
      <c r="P68" s="6" t="s">
        <v>163</v>
      </c>
      <c r="Q68" s="6" t="s">
        <v>164</v>
      </c>
      <c r="R68" s="7" t="s">
        <v>125</v>
      </c>
    </row>
    <row r="69" spans="1:18" ht="30" x14ac:dyDescent="0.25">
      <c r="A69" s="2" t="str">
        <f>"PSYCH"&amp;TEXT(Table79[[#This Row],[Count]],"000")&amp;"."&amp;IF(Table79[[#This Row],[Category]]="Essential","E",IF(Table79[[#This Row],[Category]]="Discretionary","D","O"))</f>
        <v>PSYCH048.E</v>
      </c>
      <c r="B69" s="2">
        <f>MAX(Table78[Count])+ROWS(INDEX(Table79[Count],1):Table79[[#This Row],[Count]])</f>
        <v>48</v>
      </c>
      <c r="C69" s="5" t="s">
        <v>54</v>
      </c>
      <c r="D69" s="5" t="s">
        <v>1670</v>
      </c>
      <c r="E69" s="2" t="s">
        <v>13</v>
      </c>
      <c r="O69" s="2" t="s">
        <v>127</v>
      </c>
      <c r="P69" s="2" t="s">
        <v>127</v>
      </c>
      <c r="Q69" s="2" t="s">
        <v>127</v>
      </c>
      <c r="R69" s="5" t="s">
        <v>1671</v>
      </c>
    </row>
    <row r="70" spans="1:18" ht="30" x14ac:dyDescent="0.25">
      <c r="A70" s="2" t="str">
        <f>"PSYCH"&amp;TEXT(Table79[[#This Row],[Count]],"000")&amp;"."&amp;IF(Table79[[#This Row],[Category]]="Essential","E",IF(Table79[[#This Row],[Category]]="Discretionary","D","O"))</f>
        <v>PSYCH049.E</v>
      </c>
      <c r="B70" s="2">
        <f>MAX(Table78[Count])+ROWS(INDEX(Table79[Count],1):Table79[[#This Row],[Count]])</f>
        <v>49</v>
      </c>
      <c r="C70" s="5" t="s">
        <v>54</v>
      </c>
      <c r="D70" s="5" t="s">
        <v>1697</v>
      </c>
      <c r="E70" s="2" t="s">
        <v>13</v>
      </c>
      <c r="F70" s="2" t="s">
        <v>127</v>
      </c>
      <c r="M70" s="2" t="s">
        <v>127</v>
      </c>
      <c r="N70" s="2" t="s">
        <v>127</v>
      </c>
      <c r="O70" s="2" t="s">
        <v>127</v>
      </c>
      <c r="Q70" s="2"/>
      <c r="R70" s="5" t="s">
        <v>1673</v>
      </c>
    </row>
    <row r="71" spans="1:18" ht="30" x14ac:dyDescent="0.25">
      <c r="A71" s="2" t="str">
        <f>"PSYCH"&amp;TEXT(Table79[[#This Row],[Count]],"000")&amp;"."&amp;IF(Table79[[#This Row],[Category]]="Essential","E",IF(Table79[[#This Row],[Category]]="Discretionary","D","O"))</f>
        <v>PSYCH050.E</v>
      </c>
      <c r="B71" s="2">
        <f>MAX(Table78[Count])+ROWS(INDEX(Table79[Count],1):Table79[[#This Row],[Count]])</f>
        <v>50</v>
      </c>
      <c r="C71" s="5" t="s">
        <v>54</v>
      </c>
      <c r="D71" s="5" t="s">
        <v>1731</v>
      </c>
      <c r="E71" s="2" t="s">
        <v>13</v>
      </c>
      <c r="F71" s="2" t="s">
        <v>127</v>
      </c>
      <c r="M71" s="2" t="s">
        <v>127</v>
      </c>
      <c r="N71" s="2" t="s">
        <v>127</v>
      </c>
      <c r="O71" s="2" t="s">
        <v>127</v>
      </c>
      <c r="Q71" s="2"/>
    </row>
    <row r="72" spans="1:18" ht="30" x14ac:dyDescent="0.25">
      <c r="A72" s="2" t="str">
        <f>"PSYCH"&amp;TEXT(Table79[[#This Row],[Count]],"000")&amp;"."&amp;IF(Table79[[#This Row],[Category]]="Essential","E",IF(Table79[[#This Row],[Category]]="Discretionary","D","O"))</f>
        <v>PSYCH051.E</v>
      </c>
      <c r="B72" s="2">
        <f>MAX(Table78[Count])+ROWS(INDEX(Table79[Count],1):Table79[[#This Row],[Count]])</f>
        <v>51</v>
      </c>
      <c r="C72" s="5" t="s">
        <v>54</v>
      </c>
      <c r="D72" s="5" t="s">
        <v>1732</v>
      </c>
      <c r="E72" s="2" t="s">
        <v>13</v>
      </c>
      <c r="F72" s="2" t="s">
        <v>127</v>
      </c>
      <c r="M72" s="2" t="s">
        <v>127</v>
      </c>
      <c r="N72" s="2" t="s">
        <v>127</v>
      </c>
      <c r="O72" s="2" t="s">
        <v>127</v>
      </c>
      <c r="Q72" s="2"/>
    </row>
    <row r="73" spans="1:18" ht="30" x14ac:dyDescent="0.25">
      <c r="A73" s="2" t="str">
        <f>"PSYCH"&amp;TEXT(Table79[[#This Row],[Count]],"000")&amp;"."&amp;IF(Table79[[#This Row],[Category]]="Essential","E",IF(Table79[[#This Row],[Category]]="Discretionary","D","O"))</f>
        <v>PSYCH052.E</v>
      </c>
      <c r="B73" s="2">
        <f>MAX(Table78[Count])+ROWS(INDEX(Table79[Count],1):Table79[[#This Row],[Count]])</f>
        <v>52</v>
      </c>
      <c r="C73" s="5" t="s">
        <v>54</v>
      </c>
      <c r="D73" s="5" t="s">
        <v>1710</v>
      </c>
      <c r="E73" s="2" t="s">
        <v>13</v>
      </c>
      <c r="F73" s="2" t="s">
        <v>127</v>
      </c>
      <c r="M73" s="2" t="s">
        <v>127</v>
      </c>
      <c r="N73" s="2" t="s">
        <v>127</v>
      </c>
      <c r="O73" s="2" t="s">
        <v>127</v>
      </c>
      <c r="Q73" s="2"/>
      <c r="R73" s="5" t="s">
        <v>1699</v>
      </c>
    </row>
    <row r="74" spans="1:18" ht="30" x14ac:dyDescent="0.25">
      <c r="A74" s="2" t="str">
        <f>"PSYCH"&amp;TEXT(Table79[[#This Row],[Count]],"000")&amp;"."&amp;IF(Table79[[#This Row],[Category]]="Essential","E",IF(Table79[[#This Row],[Category]]="Discretionary","D","O"))</f>
        <v>PSYCH053.O</v>
      </c>
      <c r="B74" s="2">
        <f>MAX(Table78[Count])+ROWS(INDEX(Table79[Count],1):Table79[[#This Row],[Count]])</f>
        <v>53</v>
      </c>
      <c r="C74" s="5" t="s">
        <v>54</v>
      </c>
      <c r="D74" s="5" t="s">
        <v>1683</v>
      </c>
      <c r="E74" s="2" t="s">
        <v>23</v>
      </c>
      <c r="M74" s="2" t="s">
        <v>127</v>
      </c>
      <c r="N74" s="2" t="s">
        <v>127</v>
      </c>
      <c r="O74" s="2" t="s">
        <v>127</v>
      </c>
      <c r="Q74" s="2"/>
      <c r="R74" s="5" t="s">
        <v>1733</v>
      </c>
    </row>
    <row r="75" spans="1:18" x14ac:dyDescent="0.25">
      <c r="A75" s="2" t="str">
        <f>"PSYCH"&amp;TEXT(Table79[[#This Row],[Count]],"000")&amp;"."&amp;IF(Table79[[#This Row],[Category]]="Essential","E",IF(Table79[[#This Row],[Category]]="Discretionary","D","O"))</f>
        <v>PSYCH054.E</v>
      </c>
      <c r="B75" s="2">
        <f>MAX(Table78[Count])+ROWS(INDEX(Table79[Count],1):Table79[[#This Row],[Count]])</f>
        <v>54</v>
      </c>
      <c r="C75" s="5" t="s">
        <v>54</v>
      </c>
      <c r="D75" s="5" t="s">
        <v>1734</v>
      </c>
      <c r="E75" s="2" t="s">
        <v>13</v>
      </c>
      <c r="F75" s="2" t="s">
        <v>127</v>
      </c>
      <c r="M75" s="2" t="s">
        <v>127</v>
      </c>
      <c r="N75" s="2" t="s">
        <v>127</v>
      </c>
      <c r="O75" s="2" t="s">
        <v>127</v>
      </c>
      <c r="Q75" s="2"/>
      <c r="R75" s="5" t="s">
        <v>1735</v>
      </c>
    </row>
    <row r="76" spans="1:18" ht="30" x14ac:dyDescent="0.25">
      <c r="A76" s="2" t="str">
        <f>"PSYCH"&amp;TEXT(Table79[[#This Row],[Count]],"000")&amp;"."&amp;IF(Table79[[#This Row],[Category]]="Essential","E",IF(Table79[[#This Row],[Category]]="Discretionary","D","O"))</f>
        <v>PSYCH055.E</v>
      </c>
      <c r="B76" s="2">
        <f>MAX(Table78[Count])+ROWS(INDEX(Table79[Count],1):Table79[[#This Row],[Count]])</f>
        <v>55</v>
      </c>
      <c r="C76" s="5" t="s">
        <v>54</v>
      </c>
      <c r="D76" s="5" t="s">
        <v>1685</v>
      </c>
      <c r="E76" s="2" t="s">
        <v>13</v>
      </c>
      <c r="M76" s="2" t="s">
        <v>127</v>
      </c>
      <c r="N76" s="2" t="s">
        <v>127</v>
      </c>
      <c r="O76" s="2" t="s">
        <v>127</v>
      </c>
      <c r="Q76" s="2"/>
      <c r="R76" s="5" t="s">
        <v>1686</v>
      </c>
    </row>
    <row r="77" spans="1:18" x14ac:dyDescent="0.25">
      <c r="A77" s="2" t="str">
        <f>"PSYCH"&amp;TEXT(Table79[[#This Row],[Count]],"000")&amp;"."&amp;IF(Table79[[#This Row],[Category]]="Essential","E",IF(Table79[[#This Row],[Category]]="Discretionary","D","O"))</f>
        <v>PSYCH056.E</v>
      </c>
      <c r="B77" s="2">
        <f>MAX(Table78[Count])+ROWS(INDEX(Table79[Count],1):Table79[[#This Row],[Count]])</f>
        <v>56</v>
      </c>
      <c r="C77" s="5" t="s">
        <v>54</v>
      </c>
      <c r="D77" s="5" t="s">
        <v>1736</v>
      </c>
      <c r="E77" s="2" t="s">
        <v>13</v>
      </c>
      <c r="M77" s="2" t="s">
        <v>127</v>
      </c>
      <c r="N77" s="2" t="s">
        <v>127</v>
      </c>
      <c r="O77" s="2" t="s">
        <v>127</v>
      </c>
      <c r="Q77" s="2"/>
      <c r="R77" s="5" t="s">
        <v>1737</v>
      </c>
    </row>
    <row r="79" spans="1:18" x14ac:dyDescent="0.25">
      <c r="A79" s="58" t="s">
        <v>56</v>
      </c>
      <c r="B79" s="58"/>
      <c r="C79" s="58"/>
      <c r="D79" s="58"/>
      <c r="E79" s="58"/>
      <c r="F79" s="58"/>
      <c r="G79" s="58"/>
      <c r="H79" s="58"/>
      <c r="I79" s="58"/>
      <c r="J79" s="58"/>
      <c r="K79" s="58"/>
      <c r="L79" s="58"/>
      <c r="M79" s="58"/>
      <c r="N79" s="58"/>
      <c r="O79" s="58"/>
      <c r="P79" s="58"/>
      <c r="Q79" s="58"/>
      <c r="R79" s="58"/>
    </row>
    <row r="81" spans="1:18" x14ac:dyDescent="0.25">
      <c r="A81" s="6" t="s">
        <v>120</v>
      </c>
      <c r="B81" s="6" t="s">
        <v>121</v>
      </c>
      <c r="C81" s="7" t="s">
        <v>122</v>
      </c>
      <c r="D81" s="7" t="s">
        <v>123</v>
      </c>
      <c r="E81" s="6" t="s">
        <v>8</v>
      </c>
      <c r="F81" s="6" t="s">
        <v>124</v>
      </c>
      <c r="G81" s="6" t="s">
        <v>154</v>
      </c>
      <c r="H81" s="6" t="s">
        <v>155</v>
      </c>
      <c r="I81" s="6" t="s">
        <v>156</v>
      </c>
      <c r="J81" s="6" t="s">
        <v>157</v>
      </c>
      <c r="K81" s="6" t="s">
        <v>158</v>
      </c>
      <c r="L81" s="6" t="s">
        <v>159</v>
      </c>
      <c r="M81" s="6" t="s">
        <v>160</v>
      </c>
      <c r="N81" s="6" t="s">
        <v>161</v>
      </c>
      <c r="O81" s="6" t="s">
        <v>162</v>
      </c>
      <c r="P81" s="6" t="s">
        <v>163</v>
      </c>
      <c r="Q81" s="7" t="s">
        <v>164</v>
      </c>
      <c r="R81" s="7" t="s">
        <v>125</v>
      </c>
    </row>
    <row r="82" spans="1:18" ht="30" x14ac:dyDescent="0.25">
      <c r="A82" s="2" t="str">
        <f>"PSYCH"&amp;TEXT(Table80[[#This Row],[Count]],"000")&amp;"."&amp;IF(Table80[[#This Row],[Category]]="Essential","E",IF(Table80[[#This Row],[Category]]="Discretionary","D","O"))</f>
        <v>PSYCH057.E</v>
      </c>
      <c r="B82" s="2">
        <f>MAX(Table79[Count])+ROWS(INDEX(Table80[Count],1):Table80[[#This Row],[Count]])</f>
        <v>57</v>
      </c>
      <c r="C82" s="5" t="s">
        <v>56</v>
      </c>
      <c r="D82" s="5" t="s">
        <v>1738</v>
      </c>
      <c r="E82" s="2" t="s">
        <v>13</v>
      </c>
      <c r="F82" s="2" t="s">
        <v>127</v>
      </c>
      <c r="O82" s="2" t="s">
        <v>127</v>
      </c>
      <c r="P82" s="2" t="s">
        <v>127</v>
      </c>
      <c r="R82" s="5" t="s">
        <v>1671</v>
      </c>
    </row>
    <row r="83" spans="1:18" ht="30" x14ac:dyDescent="0.25">
      <c r="A83" s="2" t="str">
        <f>"PSYCH"&amp;TEXT(Table80[[#This Row],[Count]],"000")&amp;"."&amp;IF(Table80[[#This Row],[Category]]="Essential","E",IF(Table80[[#This Row],[Category]]="Discretionary","D","O"))</f>
        <v>PSYCH058.E</v>
      </c>
      <c r="B83" s="2">
        <f>MAX(Table79[Count])+ROWS(INDEX(Table80[Count],1):Table80[[#This Row],[Count]])</f>
        <v>58</v>
      </c>
      <c r="C83" s="5" t="s">
        <v>56</v>
      </c>
      <c r="D83" s="5" t="s">
        <v>1697</v>
      </c>
      <c r="E83" s="2" t="s">
        <v>13</v>
      </c>
      <c r="F83" s="2" t="s">
        <v>127</v>
      </c>
      <c r="M83" s="2" t="s">
        <v>127</v>
      </c>
      <c r="N83" s="2" t="s">
        <v>127</v>
      </c>
      <c r="O83" s="2" t="s">
        <v>127</v>
      </c>
      <c r="P83" s="2" t="s">
        <v>127</v>
      </c>
      <c r="R83" s="5" t="s">
        <v>1673</v>
      </c>
    </row>
    <row r="84" spans="1:18" ht="45" x14ac:dyDescent="0.25">
      <c r="A84" s="2" t="str">
        <f>"PSYCH"&amp;TEXT(Table80[[#This Row],[Count]],"000")&amp;"."&amp;IF(Table80[[#This Row],[Category]]="Essential","E",IF(Table80[[#This Row],[Category]]="Discretionary","D","O"))</f>
        <v>PSYCH059.O</v>
      </c>
      <c r="B84" s="2">
        <f>MAX(Table79[Count])+ROWS(INDEX(Table80[Count],1):Table80[[#This Row],[Count]])</f>
        <v>59</v>
      </c>
      <c r="C84" s="5" t="s">
        <v>56</v>
      </c>
      <c r="D84" s="5" t="s">
        <v>1739</v>
      </c>
      <c r="E84" s="2" t="s">
        <v>23</v>
      </c>
      <c r="F84" s="2" t="s">
        <v>127</v>
      </c>
      <c r="M84" s="2" t="s">
        <v>127</v>
      </c>
      <c r="N84" s="2" t="s">
        <v>127</v>
      </c>
      <c r="O84" s="2" t="s">
        <v>127</v>
      </c>
      <c r="R84" s="5" t="s">
        <v>1162</v>
      </c>
    </row>
    <row r="85" spans="1:18" x14ac:dyDescent="0.25">
      <c r="A85" s="2" t="str">
        <f>"PSYCH"&amp;TEXT(Table80[[#This Row],[Count]],"000")&amp;"."&amp;IF(Table80[[#This Row],[Category]]="Essential","E",IF(Table80[[#This Row],[Category]]="Discretionary","D","O"))</f>
        <v>PSYCH060.O</v>
      </c>
      <c r="B85" s="2">
        <f>MAX(Table79[Count])+ROWS(INDEX(Table80[Count],1):Table80[[#This Row],[Count]])</f>
        <v>60</v>
      </c>
      <c r="C85" s="5" t="s">
        <v>56</v>
      </c>
      <c r="D85" s="5" t="s">
        <v>1740</v>
      </c>
      <c r="E85" s="2" t="s">
        <v>23</v>
      </c>
      <c r="F85" s="2" t="s">
        <v>127</v>
      </c>
      <c r="O85" s="2" t="s">
        <v>127</v>
      </c>
      <c r="R85" s="5" t="s">
        <v>1162</v>
      </c>
    </row>
    <row r="86" spans="1:18" ht="30" x14ac:dyDescent="0.25">
      <c r="A86" s="2" t="str">
        <f>"PSYCH"&amp;TEXT(Table80[[#This Row],[Count]],"000")&amp;"."&amp;IF(Table80[[#This Row],[Category]]="Essential","E",IF(Table80[[#This Row],[Category]]="Discretionary","D","O"))</f>
        <v>PSYCH061.E</v>
      </c>
      <c r="B86" s="2">
        <f>MAX(Table79[Count])+ROWS(INDEX(Table80[Count],1):Table80[[#This Row],[Count]])</f>
        <v>61</v>
      </c>
      <c r="C86" s="5" t="s">
        <v>56</v>
      </c>
      <c r="D86" s="5" t="s">
        <v>1719</v>
      </c>
      <c r="E86" s="2" t="s">
        <v>13</v>
      </c>
      <c r="F86" s="2" t="s">
        <v>127</v>
      </c>
      <c r="O86" s="2" t="s">
        <v>127</v>
      </c>
    </row>
    <row r="87" spans="1:18" ht="30" x14ac:dyDescent="0.25">
      <c r="A87" s="2" t="str">
        <f>"PSYCH"&amp;TEXT(Table80[[#This Row],[Count]],"000")&amp;"."&amp;IF(Table80[[#This Row],[Category]]="Essential","E",IF(Table80[[#This Row],[Category]]="Discretionary","D","O"))</f>
        <v>PSYCH062.O</v>
      </c>
      <c r="B87" s="2">
        <f>MAX(Table79[Count])+ROWS(INDEX(Table80[Count],1):Table80[[#This Row],[Count]])</f>
        <v>62</v>
      </c>
      <c r="C87" s="5" t="s">
        <v>56</v>
      </c>
      <c r="D87" s="5" t="s">
        <v>1741</v>
      </c>
      <c r="E87" s="2" t="s">
        <v>23</v>
      </c>
      <c r="M87" s="2" t="s">
        <v>127</v>
      </c>
      <c r="N87" s="2" t="s">
        <v>127</v>
      </c>
      <c r="O87" s="2" t="s">
        <v>127</v>
      </c>
      <c r="P87" s="2" t="s">
        <v>127</v>
      </c>
      <c r="R87" s="5" t="s">
        <v>1702</v>
      </c>
    </row>
    <row r="88" spans="1:18" ht="30" x14ac:dyDescent="0.25">
      <c r="A88" s="2" t="str">
        <f>"PSYCH"&amp;TEXT(Table80[[#This Row],[Count]],"000")&amp;"."&amp;IF(Table80[[#This Row],[Category]]="Essential","E",IF(Table80[[#This Row],[Category]]="Discretionary","D","O"))</f>
        <v>PSYCH063.E</v>
      </c>
      <c r="B88" s="2">
        <f>MAX(Table79[Count])+ROWS(INDEX(Table80[Count],1):Table80[[#This Row],[Count]])</f>
        <v>63</v>
      </c>
      <c r="C88" s="5" t="s">
        <v>56</v>
      </c>
      <c r="D88" s="5" t="s">
        <v>1742</v>
      </c>
      <c r="E88" s="2" t="s">
        <v>13</v>
      </c>
      <c r="M88" s="2" t="s">
        <v>127</v>
      </c>
      <c r="N88" s="2" t="s">
        <v>127</v>
      </c>
      <c r="O88" s="2" t="s">
        <v>127</v>
      </c>
      <c r="P88" s="2" t="s">
        <v>127</v>
      </c>
      <c r="R88" s="5" t="s">
        <v>1743</v>
      </c>
    </row>
    <row r="89" spans="1:18" ht="45" x14ac:dyDescent="0.25">
      <c r="A89" s="2" t="str">
        <f>"PSYCH"&amp;TEXT(Table80[[#This Row],[Count]],"000")&amp;"."&amp;IF(Table80[[#This Row],[Category]]="Essential","E",IF(Table80[[#This Row],[Category]]="Discretionary","D","O"))</f>
        <v>PSYCH064.O</v>
      </c>
      <c r="B89" s="2">
        <f>MAX(Table79[Count])+ROWS(INDEX(Table80[Count],1):Table80[[#This Row],[Count]])</f>
        <v>64</v>
      </c>
      <c r="C89" s="5" t="s">
        <v>56</v>
      </c>
      <c r="D89" s="5" t="s">
        <v>1744</v>
      </c>
      <c r="E89" s="2" t="s">
        <v>23</v>
      </c>
      <c r="F89" s="2" t="s">
        <v>127</v>
      </c>
      <c r="M89" s="2" t="s">
        <v>127</v>
      </c>
      <c r="N89" s="2" t="s">
        <v>127</v>
      </c>
      <c r="O89" s="2" t="s">
        <v>127</v>
      </c>
      <c r="R89" s="5" t="s">
        <v>1162</v>
      </c>
    </row>
    <row r="90" spans="1:18" ht="30" x14ac:dyDescent="0.25">
      <c r="A90" s="2" t="str">
        <f>"PSYCH"&amp;TEXT(Table80[[#This Row],[Count]],"000")&amp;"."&amp;IF(Table80[[#This Row],[Category]]="Essential","E",IF(Table80[[#This Row],[Category]]="Discretionary","D","O"))</f>
        <v>PSYCH065.E</v>
      </c>
      <c r="B90" s="2">
        <f>MAX(Table79[Count])+ROWS(INDEX(Table80[Count],1):Table80[[#This Row],[Count]])</f>
        <v>65</v>
      </c>
      <c r="C90" s="5" t="s">
        <v>56</v>
      </c>
      <c r="D90" s="5" t="s">
        <v>1745</v>
      </c>
      <c r="E90" s="2" t="s">
        <v>13</v>
      </c>
      <c r="F90" s="2" t="s">
        <v>127</v>
      </c>
      <c r="M90" s="2" t="s">
        <v>127</v>
      </c>
      <c r="N90" s="2" t="s">
        <v>127</v>
      </c>
      <c r="O90" s="2" t="s">
        <v>127</v>
      </c>
    </row>
    <row r="91" spans="1:18" ht="30" x14ac:dyDescent="0.25">
      <c r="A91" s="2" t="str">
        <f>"PSYCH"&amp;TEXT(Table80[[#This Row],[Count]],"000")&amp;"."&amp;IF(Table80[[#This Row],[Category]]="Essential","E",IF(Table80[[#This Row],[Category]]="Discretionary","D","O"))</f>
        <v>PSYCH066.E</v>
      </c>
      <c r="B91" s="2">
        <f>MAX(Table79[Count])+ROWS(INDEX(Table80[Count],1):Table80[[#This Row],[Count]])</f>
        <v>66</v>
      </c>
      <c r="C91" s="5" t="s">
        <v>56</v>
      </c>
      <c r="D91" s="5" t="s">
        <v>1746</v>
      </c>
      <c r="E91" s="2" t="s">
        <v>13</v>
      </c>
      <c r="F91" s="2" t="s">
        <v>127</v>
      </c>
      <c r="M91" s="2" t="s">
        <v>127</v>
      </c>
      <c r="N91" s="2" t="s">
        <v>127</v>
      </c>
      <c r="O91" s="2" t="s">
        <v>127</v>
      </c>
      <c r="R91" s="5" t="s">
        <v>1747</v>
      </c>
    </row>
    <row r="92" spans="1:18" ht="30" x14ac:dyDescent="0.25">
      <c r="A92" s="2" t="str">
        <f>"PSYCH"&amp;TEXT(Table80[[#This Row],[Count]],"000")&amp;"."&amp;IF(Table80[[#This Row],[Category]]="Essential","E",IF(Table80[[#This Row],[Category]]="Discretionary","D","O"))</f>
        <v>PSYCH067.E</v>
      </c>
      <c r="B92" s="2">
        <f>MAX(Table79[Count])+ROWS(INDEX(Table80[Count],1):Table80[[#This Row],[Count]])</f>
        <v>67</v>
      </c>
      <c r="C92" s="5" t="s">
        <v>56</v>
      </c>
      <c r="D92" s="5" t="s">
        <v>1710</v>
      </c>
      <c r="E92" s="2" t="s">
        <v>13</v>
      </c>
      <c r="F92" s="2" t="s">
        <v>127</v>
      </c>
      <c r="M92" s="2" t="s">
        <v>127</v>
      </c>
      <c r="N92" s="2" t="s">
        <v>127</v>
      </c>
      <c r="O92" s="2" t="s">
        <v>127</v>
      </c>
      <c r="R92" s="5" t="s">
        <v>1711</v>
      </c>
    </row>
    <row r="93" spans="1:18" x14ac:dyDescent="0.25">
      <c r="A93" s="2" t="str">
        <f>"PSYCH"&amp;TEXT(Table80[[#This Row],[Count]],"000")&amp;"."&amp;IF(Table80[[#This Row],[Category]]="Essential","E",IF(Table80[[#This Row],[Category]]="Discretionary","D","O"))</f>
        <v>PSYCH068.E</v>
      </c>
      <c r="B93" s="2">
        <f>MAX(Table79[Count])+ROWS(INDEX(Table80[Count],1):Table80[[#This Row],[Count]])</f>
        <v>68</v>
      </c>
      <c r="C93" s="5" t="s">
        <v>56</v>
      </c>
      <c r="D93" s="5" t="s">
        <v>1683</v>
      </c>
      <c r="E93" s="2" t="s">
        <v>13</v>
      </c>
      <c r="F93" s="2" t="s">
        <v>127</v>
      </c>
      <c r="M93" s="2" t="s">
        <v>127</v>
      </c>
      <c r="N93" s="2" t="s">
        <v>127</v>
      </c>
      <c r="O93" s="2" t="s">
        <v>127</v>
      </c>
      <c r="P93" s="2" t="s">
        <v>127</v>
      </c>
      <c r="R93" s="5" t="s">
        <v>1748</v>
      </c>
    </row>
    <row r="94" spans="1:18" ht="30" x14ac:dyDescent="0.25">
      <c r="A94" s="2" t="str">
        <f>"PSYCH"&amp;TEXT(Table80[[#This Row],[Count]],"000")&amp;"."&amp;IF(Table80[[#This Row],[Category]]="Essential","E",IF(Table80[[#This Row],[Category]]="Discretionary","D","O"))</f>
        <v>PSYCH069.E</v>
      </c>
      <c r="B94" s="2">
        <f>MAX(Table79[Count])+ROWS(INDEX(Table80[Count],1):Table80[[#This Row],[Count]])</f>
        <v>69</v>
      </c>
      <c r="C94" s="5" t="s">
        <v>56</v>
      </c>
      <c r="D94" s="5" t="s">
        <v>1684</v>
      </c>
      <c r="E94" s="2" t="s">
        <v>13</v>
      </c>
      <c r="F94" s="2" t="s">
        <v>127</v>
      </c>
      <c r="M94" s="2" t="s">
        <v>127</v>
      </c>
      <c r="N94" s="2" t="s">
        <v>127</v>
      </c>
      <c r="O94" s="2" t="s">
        <v>127</v>
      </c>
      <c r="R94" s="5" t="s">
        <v>1749</v>
      </c>
    </row>
    <row r="95" spans="1:18" x14ac:dyDescent="0.25">
      <c r="A95" s="2" t="str">
        <f>"PSYCH"&amp;TEXT(Table80[[#This Row],[Count]],"000")&amp;"."&amp;IF(Table80[[#This Row],[Category]]="Essential","E",IF(Table80[[#This Row],[Category]]="Discretionary","D","O"))</f>
        <v>PSYCH070.E</v>
      </c>
      <c r="B95" s="2">
        <f>MAX(Table79[Count])+ROWS(INDEX(Table80[Count],1):Table80[[#This Row],[Count]])</f>
        <v>70</v>
      </c>
      <c r="C95" s="5" t="s">
        <v>56</v>
      </c>
      <c r="D95" s="5" t="s">
        <v>1724</v>
      </c>
      <c r="E95" s="2" t="s">
        <v>13</v>
      </c>
      <c r="F95" s="2" t="s">
        <v>127</v>
      </c>
      <c r="M95" s="2" t="s">
        <v>127</v>
      </c>
      <c r="N95" s="2" t="s">
        <v>127</v>
      </c>
      <c r="O95" s="2" t="s">
        <v>127</v>
      </c>
    </row>
    <row r="96" spans="1:18" ht="30" x14ac:dyDescent="0.25">
      <c r="A96" s="2" t="str">
        <f>"PSYCH"&amp;TEXT(Table80[[#This Row],[Count]],"000")&amp;"."&amp;IF(Table80[[#This Row],[Category]]="Essential","E",IF(Table80[[#This Row],[Category]]="Discretionary","D","O"))</f>
        <v>PSYCH071.E</v>
      </c>
      <c r="B96" s="2">
        <f>MAX(Table79[Count])+ROWS(INDEX(Table80[Count],1):Table80[[#This Row],[Count]])</f>
        <v>71</v>
      </c>
      <c r="C96" s="5" t="s">
        <v>56</v>
      </c>
      <c r="D96" s="5" t="s">
        <v>1713</v>
      </c>
      <c r="E96" s="2" t="s">
        <v>13</v>
      </c>
      <c r="F96" s="2" t="s">
        <v>127</v>
      </c>
      <c r="M96" s="2" t="s">
        <v>127</v>
      </c>
      <c r="N96" s="2" t="s">
        <v>127</v>
      </c>
      <c r="O96" s="2" t="s">
        <v>127</v>
      </c>
      <c r="R96" s="5" t="s">
        <v>1686</v>
      </c>
    </row>
    <row r="97" spans="1:18" ht="30" x14ac:dyDescent="0.25">
      <c r="A97" s="2" t="str">
        <f>"PSYCH"&amp;TEXT(Table80[[#This Row],[Count]],"000")&amp;"."&amp;IF(Table80[[#This Row],[Category]]="Essential","E",IF(Table80[[#This Row],[Category]]="Discretionary","D","O"))</f>
        <v>PSYCH072.E</v>
      </c>
      <c r="B97" s="2">
        <f>MAX(Table79[Count])+ROWS(INDEX(Table80[Count],1):Table80[[#This Row],[Count]])</f>
        <v>72</v>
      </c>
      <c r="C97" s="5" t="s">
        <v>56</v>
      </c>
      <c r="D97" s="5" t="s">
        <v>1750</v>
      </c>
      <c r="E97" s="2" t="s">
        <v>13</v>
      </c>
      <c r="F97" s="2" t="s">
        <v>127</v>
      </c>
      <c r="M97" s="2" t="s">
        <v>127</v>
      </c>
      <c r="N97" s="2" t="s">
        <v>127</v>
      </c>
      <c r="O97" s="2" t="s">
        <v>127</v>
      </c>
    </row>
    <row r="99" spans="1:18" x14ac:dyDescent="0.25">
      <c r="A99" s="58" t="s">
        <v>59</v>
      </c>
      <c r="B99" s="58"/>
      <c r="C99" s="58"/>
      <c r="D99" s="58"/>
      <c r="E99" s="58"/>
      <c r="F99" s="58"/>
      <c r="G99" s="58"/>
      <c r="H99" s="58"/>
      <c r="I99" s="58"/>
      <c r="J99" s="58"/>
      <c r="K99" s="58"/>
      <c r="L99" s="58"/>
      <c r="M99" s="58"/>
      <c r="N99" s="58"/>
      <c r="O99" s="58"/>
      <c r="P99" s="58"/>
      <c r="Q99" s="58"/>
      <c r="R99" s="58"/>
    </row>
    <row r="101" spans="1:18" x14ac:dyDescent="0.25">
      <c r="A101" s="6" t="s">
        <v>120</v>
      </c>
      <c r="B101" s="6" t="s">
        <v>121</v>
      </c>
      <c r="C101" s="7" t="s">
        <v>122</v>
      </c>
      <c r="D101" s="7" t="s">
        <v>123</v>
      </c>
      <c r="E101" s="6" t="s">
        <v>8</v>
      </c>
      <c r="F101" s="6" t="s">
        <v>124</v>
      </c>
      <c r="G101" s="6" t="s">
        <v>154</v>
      </c>
      <c r="H101" s="6" t="s">
        <v>155</v>
      </c>
      <c r="I101" s="6" t="s">
        <v>156</v>
      </c>
      <c r="J101" s="6" t="s">
        <v>157</v>
      </c>
      <c r="K101" s="6" t="s">
        <v>158</v>
      </c>
      <c r="L101" s="6" t="s">
        <v>159</v>
      </c>
      <c r="M101" s="6" t="s">
        <v>160</v>
      </c>
      <c r="N101" s="6" t="s">
        <v>161</v>
      </c>
      <c r="O101" s="6" t="s">
        <v>162</v>
      </c>
      <c r="P101" s="6" t="s">
        <v>163</v>
      </c>
      <c r="Q101" s="7" t="s">
        <v>164</v>
      </c>
      <c r="R101" s="7" t="s">
        <v>125</v>
      </c>
    </row>
    <row r="102" spans="1:18" ht="90" x14ac:dyDescent="0.25">
      <c r="A102" s="2" t="str">
        <f>"PSYCH"&amp;TEXT(Table81[[#This Row],[Count]],"000")&amp;"."&amp;IF(Table81[[#This Row],[Category]]="Essential","E",IF(Table81[[#This Row],[Category]]="Discretionary","D","O"))</f>
        <v>PSYCH073.E</v>
      </c>
      <c r="B102" s="2">
        <f>MAX(Table80[Count])+ROWS(INDEX(Table81[Count],1):Table81[[#This Row],[Count]])</f>
        <v>73</v>
      </c>
      <c r="C102" s="5" t="s">
        <v>59</v>
      </c>
      <c r="D102" s="38" t="s">
        <v>1751</v>
      </c>
      <c r="E102" s="2" t="s">
        <v>13</v>
      </c>
      <c r="F102" s="2" t="s">
        <v>127</v>
      </c>
      <c r="M102" s="2" t="s">
        <v>127</v>
      </c>
      <c r="N102" s="2" t="s">
        <v>127</v>
      </c>
      <c r="O102" s="2" t="s">
        <v>127</v>
      </c>
      <c r="R102" s="5" t="s">
        <v>1752</v>
      </c>
    </row>
    <row r="103" spans="1:18" ht="30" x14ac:dyDescent="0.25">
      <c r="A103" s="2" t="str">
        <f>"PSYCH"&amp;TEXT(Table81[[#This Row],[Count]],"000")&amp;"."&amp;IF(Table81[[#This Row],[Category]]="Essential","E",IF(Table81[[#This Row],[Category]]="Discretionary","D","O"))</f>
        <v>PSYCH074.E</v>
      </c>
      <c r="B103" s="2">
        <f>MAX(Table80[Count])+ROWS(INDEX(Table81[Count],1):Table81[[#This Row],[Count]])</f>
        <v>74</v>
      </c>
      <c r="C103" s="5" t="s">
        <v>59</v>
      </c>
      <c r="D103" s="5" t="s">
        <v>1670</v>
      </c>
      <c r="E103" s="2" t="s">
        <v>13</v>
      </c>
      <c r="F103" s="2" t="s">
        <v>127</v>
      </c>
      <c r="O103" s="2" t="s">
        <v>127</v>
      </c>
      <c r="R103" s="5" t="s">
        <v>1671</v>
      </c>
    </row>
    <row r="104" spans="1:18" ht="30" x14ac:dyDescent="0.25">
      <c r="A104" s="2" t="str">
        <f>"PSYCH"&amp;TEXT(Table81[[#This Row],[Count]],"000")&amp;"."&amp;IF(Table81[[#This Row],[Category]]="Essential","E",IF(Table81[[#This Row],[Category]]="Discretionary","D","O"))</f>
        <v>PSYCH075.E</v>
      </c>
      <c r="B104" s="2">
        <f>MAX(Table80[Count])+ROWS(INDEX(Table81[Count],1):Table81[[#This Row],[Count]])</f>
        <v>75</v>
      </c>
      <c r="C104" s="5" t="s">
        <v>59</v>
      </c>
      <c r="D104" s="5" t="s">
        <v>1697</v>
      </c>
      <c r="E104" s="2" t="s">
        <v>13</v>
      </c>
      <c r="F104" s="2" t="s">
        <v>127</v>
      </c>
      <c r="M104" s="2" t="s">
        <v>127</v>
      </c>
      <c r="N104" s="2" t="s">
        <v>127</v>
      </c>
      <c r="O104" s="2" t="s">
        <v>127</v>
      </c>
      <c r="R104" s="5" t="s">
        <v>1673</v>
      </c>
    </row>
    <row r="105" spans="1:18" ht="30" x14ac:dyDescent="0.25">
      <c r="A105" s="2" t="str">
        <f>"PSYCH"&amp;TEXT(Table81[[#This Row],[Count]],"000")&amp;"."&amp;IF(Table81[[#This Row],[Category]]="Essential","E",IF(Table81[[#This Row],[Category]]="Discretionary","D","O"))</f>
        <v>PSYCH076.E</v>
      </c>
      <c r="B105" s="2">
        <f>MAX(Table80[Count])+ROWS(INDEX(Table81[Count],1):Table81[[#This Row],[Count]])</f>
        <v>76</v>
      </c>
      <c r="C105" s="5" t="s">
        <v>59</v>
      </c>
      <c r="D105" s="5" t="s">
        <v>1753</v>
      </c>
      <c r="E105" s="2" t="s">
        <v>13</v>
      </c>
      <c r="F105" s="2" t="s">
        <v>127</v>
      </c>
      <c r="M105" s="2" t="s">
        <v>127</v>
      </c>
      <c r="N105" s="2" t="s">
        <v>127</v>
      </c>
      <c r="O105" s="2" t="s">
        <v>127</v>
      </c>
      <c r="R105" s="5" t="s">
        <v>1747</v>
      </c>
    </row>
    <row r="106" spans="1:18" ht="30" x14ac:dyDescent="0.25">
      <c r="A106" s="2" t="str">
        <f>"PSYCH"&amp;TEXT(Table81[[#This Row],[Count]],"000")&amp;"."&amp;IF(Table81[[#This Row],[Category]]="Essential","E",IF(Table81[[#This Row],[Category]]="Discretionary","D","O"))</f>
        <v>PSYCH077.E</v>
      </c>
      <c r="B106" s="2">
        <f>MAX(Table80[Count])+ROWS(INDEX(Table81[Count],1):Table81[[#This Row],[Count]])</f>
        <v>77</v>
      </c>
      <c r="C106" s="5" t="s">
        <v>59</v>
      </c>
      <c r="D106" s="5" t="s">
        <v>1754</v>
      </c>
      <c r="E106" s="2" t="s">
        <v>13</v>
      </c>
      <c r="F106" s="2" t="s">
        <v>127</v>
      </c>
      <c r="M106" s="2" t="s">
        <v>127</v>
      </c>
      <c r="N106" s="2" t="s">
        <v>127</v>
      </c>
      <c r="O106" s="2" t="s">
        <v>127</v>
      </c>
      <c r="R106" s="5" t="s">
        <v>1755</v>
      </c>
    </row>
    <row r="107" spans="1:18" ht="30" x14ac:dyDescent="0.25">
      <c r="A107" s="2" t="str">
        <f>"PSYCH"&amp;TEXT(Table81[[#This Row],[Count]],"000")&amp;"."&amp;IF(Table81[[#This Row],[Category]]="Essential","E",IF(Table81[[#This Row],[Category]]="Discretionary","D","O"))</f>
        <v>PSYCH078.E</v>
      </c>
      <c r="B107" s="2">
        <f>MAX(Table80[Count])+ROWS(INDEX(Table81[Count],1):Table81[[#This Row],[Count]])</f>
        <v>78</v>
      </c>
      <c r="C107" s="5" t="s">
        <v>59</v>
      </c>
      <c r="D107" s="5" t="s">
        <v>1756</v>
      </c>
      <c r="E107" s="2" t="s">
        <v>13</v>
      </c>
      <c r="F107" s="2" t="s">
        <v>127</v>
      </c>
      <c r="M107" s="2" t="s">
        <v>127</v>
      </c>
      <c r="N107" s="2" t="s">
        <v>127</v>
      </c>
      <c r="O107" s="2" t="s">
        <v>127</v>
      </c>
      <c r="R107" s="5" t="s">
        <v>1757</v>
      </c>
    </row>
    <row r="108" spans="1:18" ht="30" x14ac:dyDescent="0.25">
      <c r="A108" s="2" t="str">
        <f>"PSYCH"&amp;TEXT(Table81[[#This Row],[Count]],"000")&amp;"."&amp;IF(Table81[[#This Row],[Category]]="Essential","E",IF(Table81[[#This Row],[Category]]="Discretionary","D","O"))</f>
        <v>PSYCH079.E</v>
      </c>
      <c r="B108" s="2">
        <f>MAX(Table80[Count])+ROWS(INDEX(Table81[Count],1):Table81[[#This Row],[Count]])</f>
        <v>79</v>
      </c>
      <c r="C108" s="5" t="s">
        <v>59</v>
      </c>
      <c r="D108" s="5" t="s">
        <v>1758</v>
      </c>
      <c r="E108" s="2" t="s">
        <v>13</v>
      </c>
      <c r="F108" s="2" t="s">
        <v>127</v>
      </c>
      <c r="M108" s="2" t="s">
        <v>127</v>
      </c>
      <c r="N108" s="2" t="s">
        <v>127</v>
      </c>
      <c r="O108" s="2" t="s">
        <v>127</v>
      </c>
      <c r="R108" s="5" t="s">
        <v>1747</v>
      </c>
    </row>
    <row r="109" spans="1:18" ht="30" x14ac:dyDescent="0.25">
      <c r="A109" s="2" t="str">
        <f>"PSYCH"&amp;TEXT(Table81[[#This Row],[Count]],"000")&amp;"."&amp;IF(Table81[[#This Row],[Category]]="Essential","E",IF(Table81[[#This Row],[Category]]="Discretionary","D","O"))</f>
        <v>PSYCH080.O</v>
      </c>
      <c r="B109" s="2">
        <f>MAX(Table80[Count])+ROWS(INDEX(Table81[Count],1):Table81[[#This Row],[Count]])</f>
        <v>80</v>
      </c>
      <c r="C109" s="5" t="s">
        <v>59</v>
      </c>
      <c r="D109" s="5" t="s">
        <v>1759</v>
      </c>
      <c r="E109" s="43" t="s">
        <v>23</v>
      </c>
      <c r="F109" s="2" t="s">
        <v>127</v>
      </c>
      <c r="M109" s="2" t="s">
        <v>127</v>
      </c>
      <c r="N109" s="2" t="s">
        <v>127</v>
      </c>
      <c r="O109" s="2" t="s">
        <v>127</v>
      </c>
      <c r="R109" s="5" t="s">
        <v>1162</v>
      </c>
    </row>
    <row r="110" spans="1:18" ht="30" x14ac:dyDescent="0.25">
      <c r="A110" s="2" t="str">
        <f>"PSYCH"&amp;TEXT(Table81[[#This Row],[Count]],"000")&amp;"."&amp;IF(Table81[[#This Row],[Category]]="Essential","E",IF(Table81[[#This Row],[Category]]="Discretionary","D","O"))</f>
        <v>PSYCH081.E</v>
      </c>
      <c r="B110" s="2">
        <f>MAX(Table80[Count])+ROWS(INDEX(Table81[Count],1):Table81[[#This Row],[Count]])</f>
        <v>81</v>
      </c>
      <c r="C110" s="5" t="s">
        <v>59</v>
      </c>
      <c r="D110" s="5" t="s">
        <v>1710</v>
      </c>
      <c r="E110" s="2" t="s">
        <v>13</v>
      </c>
      <c r="F110" s="2" t="s">
        <v>127</v>
      </c>
      <c r="M110" s="2" t="s">
        <v>127</v>
      </c>
      <c r="N110" s="2" t="s">
        <v>127</v>
      </c>
      <c r="O110" s="2" t="s">
        <v>127</v>
      </c>
      <c r="R110" s="5" t="s">
        <v>1760</v>
      </c>
    </row>
    <row r="111" spans="1:18" ht="30" x14ac:dyDescent="0.25">
      <c r="A111" s="2" t="str">
        <f>"PSYCH"&amp;TEXT(Table81[[#This Row],[Count]],"000")&amp;"."&amp;IF(Table81[[#This Row],[Category]]="Essential","E",IF(Table81[[#This Row],[Category]]="Discretionary","D","O"))</f>
        <v>PSYCH082.O</v>
      </c>
      <c r="B111" s="2">
        <f>MAX(Table80[Count])+ROWS(INDEX(Table81[Count],1):Table81[[#This Row],[Count]])</f>
        <v>82</v>
      </c>
      <c r="C111" s="5" t="s">
        <v>59</v>
      </c>
      <c r="D111" s="5" t="s">
        <v>1761</v>
      </c>
      <c r="E111" s="2" t="s">
        <v>23</v>
      </c>
      <c r="F111" s="2" t="s">
        <v>127</v>
      </c>
      <c r="M111" s="2" t="s">
        <v>127</v>
      </c>
      <c r="N111" s="2" t="s">
        <v>127</v>
      </c>
      <c r="O111" s="2" t="s">
        <v>127</v>
      </c>
      <c r="R111" s="5" t="s">
        <v>1699</v>
      </c>
    </row>
    <row r="112" spans="1:18" ht="30" x14ac:dyDescent="0.25">
      <c r="A112" s="2" t="str">
        <f>"PSYCH"&amp;TEXT(Table81[[#This Row],[Count]],"000")&amp;"."&amp;IF(Table81[[#This Row],[Category]]="Essential","E",IF(Table81[[#This Row],[Category]]="Discretionary","D","O"))</f>
        <v>PSYCH083.E</v>
      </c>
      <c r="B112" s="2">
        <f>MAX(Table80[Count])+ROWS(INDEX(Table81[Count],1):Table81[[#This Row],[Count]])</f>
        <v>83</v>
      </c>
      <c r="C112" s="5" t="s">
        <v>59</v>
      </c>
      <c r="D112" s="5" t="s">
        <v>1762</v>
      </c>
      <c r="E112" s="2" t="s">
        <v>13</v>
      </c>
      <c r="F112" s="2" t="s">
        <v>127</v>
      </c>
      <c r="M112" s="2" t="s">
        <v>127</v>
      </c>
      <c r="N112" s="2" t="s">
        <v>127</v>
      </c>
      <c r="O112" s="2" t="s">
        <v>127</v>
      </c>
      <c r="R112" s="5" t="s">
        <v>1747</v>
      </c>
    </row>
    <row r="113" spans="1:18" ht="60" x14ac:dyDescent="0.25">
      <c r="A113" s="2" t="str">
        <f>"PSYCH"&amp;TEXT(Table81[[#This Row],[Count]],"000")&amp;"."&amp;IF(Table81[[#This Row],[Category]]="Essential","E",IF(Table81[[#This Row],[Category]]="Discretionary","D","O"))</f>
        <v>PSYCH084.E</v>
      </c>
      <c r="B113" s="2">
        <f>MAX(Table80[Count])+ROWS(INDEX(Table81[Count],1):Table81[[#This Row],[Count]])</f>
        <v>84</v>
      </c>
      <c r="C113" s="5" t="s">
        <v>59</v>
      </c>
      <c r="D113" s="5" t="s">
        <v>1720</v>
      </c>
      <c r="E113" s="2" t="s">
        <v>13</v>
      </c>
      <c r="F113" s="2" t="s">
        <v>127</v>
      </c>
      <c r="M113" s="2" t="s">
        <v>127</v>
      </c>
      <c r="N113" s="2" t="s">
        <v>127</v>
      </c>
      <c r="O113" s="2" t="s">
        <v>127</v>
      </c>
      <c r="R113" s="5" t="s">
        <v>1763</v>
      </c>
    </row>
    <row r="114" spans="1:18" ht="30" x14ac:dyDescent="0.25">
      <c r="A114" s="2" t="str">
        <f>"PSYCH"&amp;TEXT(Table81[[#This Row],[Count]],"000")&amp;"."&amp;IF(Table81[[#This Row],[Category]]="Essential","E",IF(Table81[[#This Row],[Category]]="Discretionary","D","O"))</f>
        <v>PSYCH085.E</v>
      </c>
      <c r="B114" s="2">
        <f>MAX(Table80[Count])+ROWS(INDEX(Table81[Count],1):Table81[[#This Row],[Count]])</f>
        <v>85</v>
      </c>
      <c r="C114" s="5" t="s">
        <v>59</v>
      </c>
      <c r="D114" s="5" t="s">
        <v>1683</v>
      </c>
      <c r="E114" s="2" t="s">
        <v>13</v>
      </c>
      <c r="F114" s="2" t="s">
        <v>127</v>
      </c>
      <c r="M114" s="2" t="s">
        <v>127</v>
      </c>
      <c r="N114" s="2" t="s">
        <v>127</v>
      </c>
      <c r="O114" s="2" t="s">
        <v>127</v>
      </c>
      <c r="R114" s="5" t="s">
        <v>1764</v>
      </c>
    </row>
    <row r="115" spans="1:18" ht="30" x14ac:dyDescent="0.25">
      <c r="A115" s="2" t="str">
        <f>"PSYCH"&amp;TEXT(Table81[[#This Row],[Count]],"000")&amp;"."&amp;IF(Table81[[#This Row],[Category]]="Essential","E",IF(Table81[[#This Row],[Category]]="Discretionary","D","O"))</f>
        <v>PSYCH086.E</v>
      </c>
      <c r="B115" s="2">
        <f>MAX(Table80[Count])+ROWS(INDEX(Table81[Count],1):Table81[[#This Row],[Count]])</f>
        <v>86</v>
      </c>
      <c r="C115" s="5" t="s">
        <v>59</v>
      </c>
      <c r="D115" s="5" t="s">
        <v>1685</v>
      </c>
      <c r="E115" s="2" t="s">
        <v>13</v>
      </c>
      <c r="F115" s="2" t="s">
        <v>127</v>
      </c>
      <c r="M115" s="2" t="s">
        <v>127</v>
      </c>
      <c r="N115" s="2" t="s">
        <v>127</v>
      </c>
      <c r="O115" s="2" t="s">
        <v>127</v>
      </c>
      <c r="R115" s="5" t="s">
        <v>1686</v>
      </c>
    </row>
    <row r="116" spans="1:18" ht="30" x14ac:dyDescent="0.25">
      <c r="A116" s="2" t="str">
        <f>"PSYCH"&amp;TEXT(Table81[[#This Row],[Count]],"000")&amp;"."&amp;IF(Table81[[#This Row],[Category]]="Cat 1","1",IF(Table81[[#This Row],[Category]]="Cat 2","2",IF(Table81[[#This Row],[Category]]="Cat 3","3","O")))</f>
        <v>PSYCH087.O</v>
      </c>
      <c r="B116" s="2">
        <f>MAX(Table80[Count])+ROWS(INDEX(Table81[Count],1):Table81[[#This Row],[Count]])</f>
        <v>87</v>
      </c>
      <c r="C116" s="5" t="s">
        <v>59</v>
      </c>
      <c r="D116" s="5" t="s">
        <v>1729</v>
      </c>
      <c r="E116" s="2" t="s">
        <v>13</v>
      </c>
      <c r="F116" s="2" t="s">
        <v>127</v>
      </c>
    </row>
  </sheetData>
  <mergeCells count="9">
    <mergeCell ref="A66:R66"/>
    <mergeCell ref="A79:R79"/>
    <mergeCell ref="A99:R99"/>
    <mergeCell ref="A1:R1"/>
    <mergeCell ref="A3:R3"/>
    <mergeCell ref="A19:R19"/>
    <mergeCell ref="A28:R28"/>
    <mergeCell ref="A48:R48"/>
    <mergeCell ref="A2:R2"/>
  </mergeCells>
  <conditionalFormatting sqref="E6:E81 E91:E371">
    <cfRule type="containsText" dxfId="15" priority="25" operator="containsText" text="Other">
      <formula>NOT(ISERROR(SEARCH("Other",E6)))</formula>
    </cfRule>
    <cfRule type="containsText" dxfId="14" priority="27" operator="containsText" text="Discretionary">
      <formula>NOT(ISERROR(SEARCH("Discretionary",E6)))</formula>
    </cfRule>
    <cfRule type="containsText" dxfId="13" priority="28" operator="containsText" text="Essential">
      <formula>NOT(ISERROR(SEARCH("Essential",E6)))</formula>
    </cfRule>
  </conditionalFormatting>
  <conditionalFormatting sqref="E82:E90">
    <cfRule type="containsText" dxfId="12" priority="13" operator="containsText" text="Other">
      <formula>NOT(ISERROR(SEARCH("Other",E82)))</formula>
    </cfRule>
    <cfRule type="containsText" dxfId="11" priority="14" operator="containsText" text="Discretionary">
      <formula>NOT(ISERROR(SEARCH("Discretionary",E82)))</formula>
    </cfRule>
    <cfRule type="containsText" dxfId="10" priority="15" operator="containsText" text="Essential">
      <formula>NOT(ISERROR(SEARCH("Essential",E82)))</formula>
    </cfRule>
  </conditionalFormatting>
  <conditionalFormatting sqref="F6:Q50 F51:L63 M51:Q64 F64 F65:Q81 F91:Q371">
    <cfRule type="containsText" dxfId="9" priority="21" operator="containsText" text="x">
      <formula>NOT(ISERROR(SEARCH("x",F6)))</formula>
    </cfRule>
  </conditionalFormatting>
  <conditionalFormatting sqref="F82:Q90">
    <cfRule type="containsText" dxfId="8" priority="16" operator="containsText" text="x">
      <formula>NOT(ISERROR(SEARCH("x",F82)))</formula>
    </cfRule>
  </conditionalFormatting>
  <conditionalFormatting sqref="G64:L64">
    <cfRule type="containsText" dxfId="7" priority="29" operator="containsText" text="x">
      <formula>NOT(ISERROR(SEARCH("x",G64)))</formula>
    </cfRule>
  </conditionalFormatting>
  <dataValidations count="1">
    <dataValidation type="list" allowBlank="1" showInputMessage="1" showErrorMessage="1" sqref="E69:E77 E82 E22:E27 E51:E64 E31:E47 E6:E18" xr:uid="{AFB69E1B-BC51-4A71-A869-BC8058621238}">
      <formula1>Cats</formula1>
    </dataValidation>
  </dataValidations>
  <pageMargins left="0.7" right="0.7" top="0.75" bottom="0.75" header="0.3" footer="0.3"/>
  <pageSetup paperSize="9" scale="48" fitToHeight="0" orientation="landscape" r:id="rId1"/>
  <headerFooter>
    <oddFooter>&amp;C&amp;P</oddFooter>
  </headerFooter>
  <tableParts count="7">
    <tablePart r:id="rId2"/>
    <tablePart r:id="rId3"/>
    <tablePart r:id="rId4"/>
    <tablePart r:id="rId5"/>
    <tablePart r:id="rId6"/>
    <tablePart r:id="rId7"/>
    <tablePart r:id="rId8"/>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8CCFA-AC52-4F74-A319-83B27EEF7351}">
  <sheetPr>
    <pageSetUpPr fitToPage="1"/>
  </sheetPr>
  <dimension ref="A1:T282"/>
  <sheetViews>
    <sheetView view="pageLayout" zoomScaleNormal="100" workbookViewId="0">
      <selection activeCell="R14" sqref="R14"/>
    </sheetView>
  </sheetViews>
  <sheetFormatPr defaultRowHeight="15" x14ac:dyDescent="0.25"/>
  <cols>
    <col min="1" max="1" width="17.42578125" style="2" customWidth="1"/>
    <col min="2" max="2" width="11.140625" style="2" hidden="1" customWidth="1"/>
    <col min="3" max="3" width="25" style="5" customWidth="1"/>
    <col min="4" max="4" width="37.42578125" style="5" customWidth="1"/>
    <col min="5" max="5" width="13.7109375" style="2" bestFit="1" customWidth="1"/>
    <col min="6" max="16" width="9.140625" style="2"/>
    <col min="17" max="17" width="9.140625" style="5" customWidth="1"/>
    <col min="18" max="18" width="68.5703125" style="5" customWidth="1"/>
  </cols>
  <sheetData>
    <row r="1" spans="1:20" ht="31.5" x14ac:dyDescent="0.5">
      <c r="A1" s="57" t="s">
        <v>86</v>
      </c>
      <c r="B1" s="57"/>
      <c r="C1" s="57"/>
      <c r="D1" s="57"/>
      <c r="E1" s="57"/>
      <c r="F1" s="57"/>
      <c r="G1" s="57"/>
      <c r="H1" s="57"/>
      <c r="I1" s="57"/>
      <c r="J1" s="57"/>
      <c r="K1" s="57"/>
      <c r="L1" s="57"/>
      <c r="M1" s="57"/>
      <c r="N1" s="57"/>
      <c r="O1" s="57"/>
      <c r="P1" s="57"/>
      <c r="Q1" s="57"/>
      <c r="R1" s="57"/>
    </row>
    <row r="2" spans="1:20" ht="49.5" customHeight="1" x14ac:dyDescent="0.25">
      <c r="A2" s="68" t="s">
        <v>152</v>
      </c>
      <c r="B2" s="68"/>
      <c r="C2" s="68"/>
      <c r="D2" s="68"/>
      <c r="E2" s="68"/>
      <c r="F2" s="68"/>
      <c r="G2" s="68"/>
      <c r="H2" s="68"/>
      <c r="I2" s="68"/>
      <c r="J2" s="68"/>
      <c r="K2" s="68"/>
      <c r="L2" s="68"/>
      <c r="M2" s="68"/>
      <c r="N2" s="68"/>
      <c r="O2" s="68"/>
      <c r="P2" s="68"/>
      <c r="Q2" s="68"/>
      <c r="R2" s="68"/>
      <c r="S2" s="21"/>
      <c r="T2" s="21"/>
    </row>
    <row r="3" spans="1:20" x14ac:dyDescent="0.25">
      <c r="A3" s="58" t="s">
        <v>89</v>
      </c>
      <c r="B3" s="58"/>
      <c r="C3" s="58"/>
      <c r="D3" s="58"/>
      <c r="E3" s="58"/>
      <c r="F3" s="58"/>
      <c r="G3" s="58"/>
      <c r="H3" s="58"/>
      <c r="I3" s="58"/>
      <c r="J3" s="58"/>
      <c r="K3" s="58"/>
      <c r="L3" s="58"/>
      <c r="M3" s="58"/>
      <c r="N3" s="58"/>
      <c r="O3" s="58"/>
      <c r="P3" s="58"/>
      <c r="Q3" s="58"/>
      <c r="R3" s="58"/>
    </row>
    <row r="5" spans="1:20" x14ac:dyDescent="0.25">
      <c r="A5" s="4" t="s">
        <v>120</v>
      </c>
      <c r="B5" s="4"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20" x14ac:dyDescent="0.25">
      <c r="A6" s="2" t="str">
        <f>"SUR"&amp;TEXT(Table83[[#This Row],[Count]],"000")&amp;"."&amp;IF(Table83[[#This Row],[Category]]="Essential","E",IF(Table83[[#This Row],[Category]]="Discretionary","D","O"))</f>
        <v>SUR001.D</v>
      </c>
      <c r="B6" s="2">
        <f>ROW()-ROW(Table83[[#Headers],[Count]])</f>
        <v>1</v>
      </c>
      <c r="C6" s="5" t="s">
        <v>89</v>
      </c>
      <c r="D6" s="5" t="s">
        <v>1765</v>
      </c>
      <c r="E6" s="5" t="s">
        <v>18</v>
      </c>
      <c r="F6" s="2" t="s">
        <v>127</v>
      </c>
      <c r="Q6" s="2"/>
      <c r="R6" s="5" t="s">
        <v>1766</v>
      </c>
    </row>
    <row r="7" spans="1:20" ht="30" x14ac:dyDescent="0.25">
      <c r="A7" s="2" t="str">
        <f>"SUR"&amp;TEXT(Table83[[#This Row],[Count]],"000")&amp;"."&amp;IF(Table83[[#This Row],[Category]]="Essential","E",IF(Table83[[#This Row],[Category]]="Discretionary","D","O"))</f>
        <v>SUR002.D</v>
      </c>
      <c r="B7" s="2">
        <f>ROW()-ROW(Table83[[#Headers],[Count]])</f>
        <v>2</v>
      </c>
      <c r="C7" s="5" t="s">
        <v>89</v>
      </c>
      <c r="D7" s="5" t="s">
        <v>1767</v>
      </c>
      <c r="E7" s="5" t="s">
        <v>18</v>
      </c>
      <c r="G7" s="2" t="s">
        <v>127</v>
      </c>
      <c r="Q7" s="2"/>
      <c r="R7" s="5" t="s">
        <v>1768</v>
      </c>
    </row>
    <row r="8" spans="1:20" x14ac:dyDescent="0.25">
      <c r="A8" s="2" t="str">
        <f>"SUR"&amp;TEXT(Table83[[#This Row],[Count]],"000")&amp;"."&amp;IF(Table83[[#This Row],[Category]]="Essential","E",IF(Table83[[#This Row],[Category]]="Discretionary","D","O"))</f>
        <v>SUR003.D</v>
      </c>
      <c r="B8" s="2">
        <f>ROW()-ROW(Table83[[#Headers],[Count]])</f>
        <v>3</v>
      </c>
      <c r="C8" s="5" t="s">
        <v>89</v>
      </c>
      <c r="D8" s="5" t="s">
        <v>1769</v>
      </c>
      <c r="E8" s="5" t="s">
        <v>18</v>
      </c>
      <c r="L8" s="2" t="s">
        <v>127</v>
      </c>
      <c r="M8" s="2" t="s">
        <v>127</v>
      </c>
      <c r="Q8" s="2"/>
    </row>
    <row r="9" spans="1:20" x14ac:dyDescent="0.25">
      <c r="A9" s="2" t="str">
        <f>"SUR"&amp;TEXT(Table83[[#This Row],[Count]],"000")&amp;"."&amp;IF(Table83[[#This Row],[Category]]="Essential","E",IF(Table83[[#This Row],[Category]]="Discretionary","D","O"))</f>
        <v>SUR004.D</v>
      </c>
      <c r="B9" s="2">
        <f>ROW()-ROW(Table83[[#Headers],[Count]])</f>
        <v>4</v>
      </c>
      <c r="C9" s="5" t="s">
        <v>89</v>
      </c>
      <c r="D9" s="5" t="s">
        <v>1770</v>
      </c>
      <c r="E9" s="5" t="s">
        <v>18</v>
      </c>
      <c r="L9" s="2" t="s">
        <v>127</v>
      </c>
      <c r="M9" s="2" t="s">
        <v>127</v>
      </c>
      <c r="Q9" s="2"/>
    </row>
    <row r="10" spans="1:20" x14ac:dyDescent="0.25">
      <c r="A10" s="2" t="str">
        <f>"SUR"&amp;TEXT(Table83[[#This Row],[Count]],"000")&amp;"."&amp;IF(Table83[[#This Row],[Category]]="Essential","E",IF(Table83[[#This Row],[Category]]="Discretionary","D","O"))</f>
        <v>SUR005.D</v>
      </c>
      <c r="B10" s="2">
        <f>ROW()-ROW(Table83[[#Headers],[Count]])</f>
        <v>5</v>
      </c>
      <c r="C10" s="5" t="s">
        <v>89</v>
      </c>
      <c r="D10" s="5" t="s">
        <v>1771</v>
      </c>
      <c r="E10" s="5" t="s">
        <v>18</v>
      </c>
      <c r="L10" s="2" t="s">
        <v>127</v>
      </c>
      <c r="M10" s="2" t="s">
        <v>127</v>
      </c>
      <c r="Q10" s="2"/>
    </row>
    <row r="11" spans="1:20" x14ac:dyDescent="0.25">
      <c r="A11" s="2" t="str">
        <f>"SUR"&amp;TEXT(Table83[[#This Row],[Count]],"000")&amp;"."&amp;IF(Table83[[#This Row],[Category]]="Essential","E",IF(Table83[[#This Row],[Category]]="Discretionary","D","O"))</f>
        <v>SUR006.D</v>
      </c>
      <c r="B11" s="2">
        <f>ROW()-ROW(Table83[[#Headers],[Count]])</f>
        <v>6</v>
      </c>
      <c r="C11" s="5" t="s">
        <v>89</v>
      </c>
      <c r="D11" s="5" t="s">
        <v>1035</v>
      </c>
      <c r="E11" s="5" t="s">
        <v>18</v>
      </c>
      <c r="J11" s="2" t="s">
        <v>127</v>
      </c>
      <c r="Q11" s="2"/>
    </row>
    <row r="12" spans="1:20" ht="30" x14ac:dyDescent="0.25">
      <c r="A12" s="2" t="str">
        <f>"SUR"&amp;TEXT(Table83[[#This Row],[Count]],"000")&amp;"."&amp;IF(Table83[[#This Row],[Category]]="Essential","E",IF(Table83[[#This Row],[Category]]="Discretionary","D","O"))</f>
        <v>SUR007.D</v>
      </c>
      <c r="B12" s="2">
        <f>ROW()-ROW(Table83[[#Headers],[Count]])</f>
        <v>7</v>
      </c>
      <c r="C12" s="5" t="s">
        <v>89</v>
      </c>
      <c r="D12" s="5" t="s">
        <v>1772</v>
      </c>
      <c r="E12" s="5" t="s">
        <v>18</v>
      </c>
      <c r="J12" s="2" t="s">
        <v>127</v>
      </c>
      <c r="L12" s="2" t="s">
        <v>127</v>
      </c>
      <c r="Q12" s="2"/>
    </row>
    <row r="13" spans="1:20" ht="30" x14ac:dyDescent="0.25">
      <c r="A13" s="2" t="str">
        <f>"SUR"&amp;TEXT(Table83[[#This Row],[Count]],"000")&amp;"."&amp;IF(Table83[[#This Row],[Category]]="Essential","E",IF(Table83[[#This Row],[Category]]="Discretionary","D","O"))</f>
        <v>SUR008.D</v>
      </c>
      <c r="B13" s="2">
        <f>ROW()-ROW(Table83[[#Headers],[Count]])</f>
        <v>8</v>
      </c>
      <c r="C13" s="5" t="s">
        <v>89</v>
      </c>
      <c r="D13" s="5" t="s">
        <v>1773</v>
      </c>
      <c r="E13" s="5" t="s">
        <v>18</v>
      </c>
      <c r="H13" s="2" t="s">
        <v>127</v>
      </c>
      <c r="Q13" s="2"/>
    </row>
    <row r="14" spans="1:20" x14ac:dyDescent="0.25">
      <c r="A14" s="2" t="str">
        <f>"SUR"&amp;TEXT(Table83[[#This Row],[Count]],"000")&amp;"."&amp;IF(Table83[[#This Row],[Category]]="Essential","E",IF(Table83[[#This Row],[Category]]="Discretionary","D","O"))</f>
        <v>SUR009.O</v>
      </c>
      <c r="B14" s="2">
        <f>ROW()-ROW(Table83[[#Headers],[Count]])</f>
        <v>9</v>
      </c>
      <c r="C14" s="5" t="s">
        <v>89</v>
      </c>
      <c r="D14" s="5" t="s">
        <v>1774</v>
      </c>
      <c r="E14" s="2" t="s">
        <v>23</v>
      </c>
      <c r="Q14" s="2"/>
      <c r="R14" s="5" t="s">
        <v>1162</v>
      </c>
    </row>
    <row r="15" spans="1:20" ht="30" x14ac:dyDescent="0.25">
      <c r="A15" s="2" t="str">
        <f>"SUR"&amp;TEXT(Table83[[#This Row],[Count]],"000")&amp;"."&amp;IF(Table83[[#This Row],[Category]]="Essential","E",IF(Table83[[#This Row],[Category]]="Discretionary","D","O"))</f>
        <v>SUR010.D</v>
      </c>
      <c r="B15" s="2">
        <f>ROW()-ROW(Table83[[#Headers],[Count]])</f>
        <v>10</v>
      </c>
      <c r="C15" s="5" t="s">
        <v>89</v>
      </c>
      <c r="D15" s="5" t="s">
        <v>1775</v>
      </c>
      <c r="E15" s="5" t="s">
        <v>18</v>
      </c>
      <c r="Q15" s="2"/>
    </row>
    <row r="16" spans="1:20" x14ac:dyDescent="0.25">
      <c r="A16" s="2" t="str">
        <f>"SUR"&amp;TEXT(Table83[[#This Row],[Count]],"000")&amp;"."&amp;IF(Table83[[#This Row],[Category]]="Essential","E",IF(Table83[[#This Row],[Category]]="Discretionary","D","O"))</f>
        <v>SUR011.D</v>
      </c>
      <c r="B16" s="2">
        <f>ROW()-ROW(Table83[[#Headers],[Count]])</f>
        <v>11</v>
      </c>
      <c r="C16" s="5" t="s">
        <v>89</v>
      </c>
      <c r="D16" s="5" t="s">
        <v>1776</v>
      </c>
      <c r="E16" s="5" t="s">
        <v>18</v>
      </c>
      <c r="Q16" s="2"/>
    </row>
    <row r="17" spans="1:18" ht="30" x14ac:dyDescent="0.25">
      <c r="A17" s="2" t="str">
        <f>"SUR"&amp;TEXT(Table83[[#This Row],[Count]],"000")&amp;"."&amp;IF(Table83[[#This Row],[Category]]="Essential","E",IF(Table83[[#This Row],[Category]]="Discretionary","D","O"))</f>
        <v>SUR012.D</v>
      </c>
      <c r="B17" s="2">
        <f>ROW()-ROW(Table83[[#Headers],[Count]])</f>
        <v>12</v>
      </c>
      <c r="C17" s="5" t="s">
        <v>89</v>
      </c>
      <c r="D17" s="5" t="s">
        <v>1777</v>
      </c>
      <c r="E17" s="5" t="s">
        <v>18</v>
      </c>
      <c r="Q17" s="2"/>
    </row>
    <row r="18" spans="1:18" ht="45" x14ac:dyDescent="0.25">
      <c r="A18" s="2" t="str">
        <f>"SUR"&amp;TEXT(Table83[[#This Row],[Count]],"000")&amp;"."&amp;IF(Table83[[#This Row],[Category]]="Essential","E",IF(Table83[[#This Row],[Category]]="Discretionary","D","O"))</f>
        <v>SUR013.D</v>
      </c>
      <c r="B18" s="2">
        <f>ROW()-ROW(Table83[[#Headers],[Count]])</f>
        <v>13</v>
      </c>
      <c r="C18" s="5" t="s">
        <v>89</v>
      </c>
      <c r="D18" s="5" t="s">
        <v>1778</v>
      </c>
      <c r="E18" s="5" t="s">
        <v>18</v>
      </c>
      <c r="F18" s="2" t="s">
        <v>127</v>
      </c>
      <c r="Q18" s="2"/>
    </row>
    <row r="19" spans="1:18" ht="30" x14ac:dyDescent="0.25">
      <c r="A19" s="2" t="str">
        <f>"SUR"&amp;TEXT(Table83[[#This Row],[Count]],"000")&amp;"."&amp;IF(Table83[[#This Row],[Category]]="Essential","E",IF(Table83[[#This Row],[Category]]="Discretionary","D","O"))</f>
        <v>SUR014.D</v>
      </c>
      <c r="B19" s="2">
        <f>ROW()-ROW(Table83[[#Headers],[Count]])</f>
        <v>14</v>
      </c>
      <c r="C19" s="5" t="s">
        <v>89</v>
      </c>
      <c r="D19" s="5" t="s">
        <v>1779</v>
      </c>
      <c r="E19" s="5" t="s">
        <v>18</v>
      </c>
      <c r="L19" s="2" t="s">
        <v>127</v>
      </c>
      <c r="Q19" s="2"/>
    </row>
    <row r="20" spans="1:18" ht="30" x14ac:dyDescent="0.25">
      <c r="A20" s="2" t="str">
        <f>"SUR"&amp;TEXT(Table83[[#This Row],[Count]],"000")&amp;"."&amp;IF(Table83[[#This Row],[Category]]="Essential","E",IF(Table83[[#This Row],[Category]]="Discretionary","D","O"))</f>
        <v>SUR015.D</v>
      </c>
      <c r="B20" s="2">
        <f>ROW()-ROW(Table83[[#Headers],[Count]])</f>
        <v>15</v>
      </c>
      <c r="C20" s="5" t="s">
        <v>89</v>
      </c>
      <c r="D20" s="5" t="s">
        <v>1780</v>
      </c>
      <c r="E20" s="5" t="s">
        <v>18</v>
      </c>
      <c r="O20" s="2" t="s">
        <v>127</v>
      </c>
      <c r="Q20" s="2"/>
    </row>
    <row r="21" spans="1:18" ht="30" x14ac:dyDescent="0.25">
      <c r="A21" s="2" t="str">
        <f>"SUR"&amp;TEXT(Table83[[#This Row],[Count]],"000")&amp;"."&amp;IF(Table83[[#This Row],[Category]]="Essential","E",IF(Table83[[#This Row],[Category]]="Discretionary","D","O"))</f>
        <v>SUR016.D</v>
      </c>
      <c r="B21" s="2">
        <f>ROW()-ROW(Table83[[#Headers],[Count]])</f>
        <v>16</v>
      </c>
      <c r="C21" s="5" t="s">
        <v>89</v>
      </c>
      <c r="D21" s="5" t="s">
        <v>1781</v>
      </c>
      <c r="E21" s="5" t="s">
        <v>18</v>
      </c>
      <c r="M21" s="2" t="s">
        <v>127</v>
      </c>
      <c r="Q21" s="2"/>
    </row>
    <row r="22" spans="1:18" ht="30" x14ac:dyDescent="0.25">
      <c r="A22" s="2" t="str">
        <f>"SUR"&amp;TEXT(Table83[[#This Row],[Count]],"000")&amp;"."&amp;IF(Table83[[#This Row],[Category]]="Essential","E",IF(Table83[[#This Row],[Category]]="Discretionary","D","O"))</f>
        <v>SUR017.D</v>
      </c>
      <c r="B22" s="2">
        <f>ROW()-ROW(Table83[[#Headers],[Count]])</f>
        <v>17</v>
      </c>
      <c r="C22" s="5" t="s">
        <v>89</v>
      </c>
      <c r="D22" s="5" t="s">
        <v>1782</v>
      </c>
      <c r="E22" s="5" t="s">
        <v>18</v>
      </c>
      <c r="M22" s="2" t="s">
        <v>127</v>
      </c>
      <c r="Q22" s="2"/>
    </row>
    <row r="23" spans="1:18" ht="30" x14ac:dyDescent="0.25">
      <c r="A23" s="2" t="str">
        <f>"SUR"&amp;TEXT(Table83[[#This Row],[Count]],"000")&amp;"."&amp;IF(Table83[[#This Row],[Category]]="Essential","E",IF(Table83[[#This Row],[Category]]="Discretionary","D","O"))</f>
        <v>SUR018.D</v>
      </c>
      <c r="B23" s="2">
        <f>ROW()-ROW(Table83[[#Headers],[Count]])</f>
        <v>18</v>
      </c>
      <c r="C23" s="5" t="s">
        <v>89</v>
      </c>
      <c r="D23" s="5" t="s">
        <v>1783</v>
      </c>
      <c r="E23" s="5" t="s">
        <v>18</v>
      </c>
      <c r="F23" s="2" t="s">
        <v>127</v>
      </c>
      <c r="Q23" s="2"/>
    </row>
    <row r="24" spans="1:18" ht="30" x14ac:dyDescent="0.25">
      <c r="A24" s="2" t="str">
        <f>"SUR"&amp;TEXT(Table83[[#This Row],[Count]],"000")&amp;"."&amp;IF(Table83[[#This Row],[Category]]="Essential","E",IF(Table83[[#This Row],[Category]]="Discretionary","D","O"))</f>
        <v>SUR019.D</v>
      </c>
      <c r="B24" s="2">
        <f>ROW()-ROW(Table83[[#Headers],[Count]])</f>
        <v>19</v>
      </c>
      <c r="C24" s="5" t="s">
        <v>89</v>
      </c>
      <c r="D24" s="5" t="s">
        <v>1784</v>
      </c>
      <c r="E24" s="5" t="s">
        <v>18</v>
      </c>
      <c r="L24" s="2" t="s">
        <v>127</v>
      </c>
      <c r="Q24" s="2"/>
    </row>
    <row r="25" spans="1:18" ht="30" x14ac:dyDescent="0.25">
      <c r="A25" s="2" t="str">
        <f>"SUR"&amp;TEXT(Table83[[#This Row],[Count]],"000")&amp;"."&amp;IF(Table83[[#This Row],[Category]]="Essential","E",IF(Table83[[#This Row],[Category]]="Discretionary","D","O"))</f>
        <v>SUR020.D</v>
      </c>
      <c r="B25" s="2">
        <f>ROW()-ROW(Table83[[#Headers],[Count]])</f>
        <v>20</v>
      </c>
      <c r="C25" s="5" t="s">
        <v>89</v>
      </c>
      <c r="D25" s="5" t="s">
        <v>1785</v>
      </c>
      <c r="E25" s="5" t="s">
        <v>18</v>
      </c>
      <c r="Q25" s="2"/>
    </row>
    <row r="26" spans="1:18" x14ac:dyDescent="0.25">
      <c r="Q26" s="2"/>
    </row>
    <row r="27" spans="1:18" s="5" customFormat="1" ht="14.25" customHeight="1" x14ac:dyDescent="0.25">
      <c r="A27" s="58" t="s">
        <v>92</v>
      </c>
      <c r="B27" s="58"/>
      <c r="C27" s="58"/>
      <c r="D27" s="58"/>
      <c r="E27" s="58"/>
      <c r="F27" s="58"/>
      <c r="G27" s="58"/>
      <c r="H27" s="58"/>
      <c r="I27" s="58"/>
      <c r="J27" s="58"/>
      <c r="K27" s="58"/>
      <c r="L27" s="58"/>
      <c r="M27" s="58"/>
      <c r="N27" s="58"/>
      <c r="O27" s="58"/>
      <c r="P27" s="58"/>
      <c r="Q27" s="58"/>
      <c r="R27" s="58"/>
    </row>
    <row r="28" spans="1:18" s="5" customFormat="1" ht="14.25" customHeight="1" x14ac:dyDescent="0.25">
      <c r="A28" s="2"/>
      <c r="B28" s="2"/>
      <c r="E28" s="2"/>
      <c r="F28" s="2"/>
      <c r="G28" s="2"/>
      <c r="H28" s="2"/>
      <c r="I28" s="2"/>
      <c r="J28" s="2"/>
      <c r="K28" s="2"/>
      <c r="L28" s="2"/>
      <c r="M28" s="2"/>
      <c r="N28" s="2"/>
      <c r="O28" s="2"/>
      <c r="P28" s="2"/>
    </row>
    <row r="29" spans="1:18" s="5" customFormat="1" ht="14.25" customHeight="1" x14ac:dyDescent="0.25">
      <c r="A29" s="6" t="s">
        <v>120</v>
      </c>
      <c r="B29" s="6" t="s">
        <v>121</v>
      </c>
      <c r="C29" s="7" t="s">
        <v>122</v>
      </c>
      <c r="D29" s="7" t="s">
        <v>123</v>
      </c>
      <c r="E29" s="6" t="s">
        <v>8</v>
      </c>
      <c r="F29" s="6" t="s">
        <v>124</v>
      </c>
      <c r="G29" s="6" t="s">
        <v>154</v>
      </c>
      <c r="H29" s="6" t="s">
        <v>155</v>
      </c>
      <c r="I29" s="6" t="s">
        <v>156</v>
      </c>
      <c r="J29" s="6" t="s">
        <v>157</v>
      </c>
      <c r="K29" s="6" t="s">
        <v>158</v>
      </c>
      <c r="L29" s="6" t="s">
        <v>159</v>
      </c>
      <c r="M29" s="6" t="s">
        <v>160</v>
      </c>
      <c r="N29" s="6" t="s">
        <v>161</v>
      </c>
      <c r="O29" s="6" t="s">
        <v>162</v>
      </c>
      <c r="P29" s="6" t="s">
        <v>163</v>
      </c>
      <c r="Q29" s="6" t="s">
        <v>164</v>
      </c>
      <c r="R29" s="7" t="s">
        <v>125</v>
      </c>
    </row>
    <row r="30" spans="1:18" ht="30" x14ac:dyDescent="0.25">
      <c r="A30" s="5" t="str">
        <f>"SUR"&amp;TEXT(Table84[[#This Row],[Count]],"000")&amp;"."&amp;IF(Table84[[#This Row],[Category]]="Essential","E",IF(Table84[[#This Row],[Category]]="Discretionary","D","O"))</f>
        <v>SUR021.E</v>
      </c>
      <c r="B30" s="5">
        <f>MAX(Table83[Count])+ROWS(INDEX(Table84[Count],1):Table84[[#This Row],[Count]])</f>
        <v>21</v>
      </c>
      <c r="C30" s="5" t="s">
        <v>92</v>
      </c>
      <c r="D30" s="5" t="s">
        <v>1786</v>
      </c>
      <c r="E30" s="5" t="s">
        <v>13</v>
      </c>
      <c r="F30" s="5"/>
      <c r="G30" s="5" t="s">
        <v>127</v>
      </c>
      <c r="H30" s="5" t="s">
        <v>127</v>
      </c>
      <c r="I30" s="5" t="s">
        <v>127</v>
      </c>
      <c r="J30" s="5"/>
      <c r="K30" s="5"/>
      <c r="L30" s="5"/>
      <c r="M30" s="5"/>
      <c r="N30" s="5"/>
      <c r="O30" s="5"/>
      <c r="P30" s="5"/>
      <c r="R30" s="52" t="s">
        <v>1787</v>
      </c>
    </row>
    <row r="31" spans="1:18" ht="14.25" customHeight="1" x14ac:dyDescent="0.25">
      <c r="A31" s="5" t="str">
        <f>"SUR"&amp;TEXT(Table84[[#This Row],[Count]],"000")&amp;"."&amp;IF(Table84[[#This Row],[Category]]="Essential","E",IF(Table84[[#This Row],[Category]]="Discretionary","D","O"))</f>
        <v>SUR022.D</v>
      </c>
      <c r="B31" s="5">
        <f>MAX(Table83[Count])+ROWS(INDEX(Table84[Count],1):Table84[[#This Row],[Count]])</f>
        <v>22</v>
      </c>
      <c r="C31" s="5" t="s">
        <v>92</v>
      </c>
      <c r="D31" s="5" t="s">
        <v>1788</v>
      </c>
      <c r="E31" s="5" t="s">
        <v>18</v>
      </c>
      <c r="F31" s="5"/>
      <c r="G31" s="5" t="s">
        <v>127</v>
      </c>
      <c r="H31" s="5" t="s">
        <v>127</v>
      </c>
      <c r="I31" s="5" t="s">
        <v>127</v>
      </c>
      <c r="J31" s="5"/>
      <c r="K31" s="5"/>
      <c r="L31" s="5"/>
      <c r="M31" s="5"/>
      <c r="N31" s="5"/>
      <c r="O31" s="5"/>
      <c r="P31" s="5"/>
    </row>
    <row r="32" spans="1:18" ht="45" x14ac:dyDescent="0.25">
      <c r="A32" s="5" t="str">
        <f>"SUR"&amp;TEXT(Table84[[#This Row],[Count]],"000")&amp;"."&amp;IF(Table84[[#This Row],[Category]]="Essential","E",IF(Table84[[#This Row],[Category]]="Discretionary","D","O"))</f>
        <v>SUR023.D</v>
      </c>
      <c r="B32" s="5">
        <f>MAX(Table83[Count])+ROWS(INDEX(Table84[Count],1):Table84[[#This Row],[Count]])</f>
        <v>23</v>
      </c>
      <c r="C32" s="5" t="s">
        <v>92</v>
      </c>
      <c r="D32" s="5" t="s">
        <v>289</v>
      </c>
      <c r="E32" s="5" t="s">
        <v>18</v>
      </c>
      <c r="F32" s="5" t="s">
        <v>127</v>
      </c>
      <c r="G32" s="5"/>
      <c r="H32" s="5"/>
      <c r="I32" s="5"/>
      <c r="J32" s="5"/>
      <c r="K32" s="5"/>
      <c r="L32" s="5"/>
      <c r="M32" s="5"/>
      <c r="N32" s="5"/>
      <c r="O32" s="5"/>
      <c r="P32" s="5"/>
      <c r="R32" s="5" t="s">
        <v>1789</v>
      </c>
    </row>
    <row r="33" spans="1:18" ht="30" x14ac:dyDescent="0.25">
      <c r="A33" s="5" t="str">
        <f>"SUR"&amp;TEXT(Table84[[#This Row],[Count]],"000")&amp;"."&amp;IF(Table84[[#This Row],[Category]]="Essential","E",IF(Table84[[#This Row],[Category]]="Discretionary","D","O"))</f>
        <v>SUR024.E</v>
      </c>
      <c r="B33" s="5">
        <f>MAX(Table83[Count])+ROWS(INDEX(Table84[Count],1):Table84[[#This Row],[Count]])</f>
        <v>24</v>
      </c>
      <c r="C33" s="5" t="s">
        <v>92</v>
      </c>
      <c r="D33" s="5" t="s">
        <v>1790</v>
      </c>
      <c r="E33" s="5" t="s">
        <v>13</v>
      </c>
      <c r="F33" s="5"/>
      <c r="G33" s="5" t="s">
        <v>127</v>
      </c>
      <c r="H33" s="5" t="s">
        <v>127</v>
      </c>
      <c r="I33" s="5"/>
      <c r="J33" s="5"/>
      <c r="K33" s="5"/>
      <c r="L33" s="5"/>
      <c r="M33" s="5"/>
      <c r="N33" s="5"/>
      <c r="O33" s="5"/>
      <c r="P33" s="5"/>
      <c r="R33" s="5" t="s">
        <v>1791</v>
      </c>
    </row>
    <row r="34" spans="1:18" ht="14.25" customHeight="1" x14ac:dyDescent="0.25">
      <c r="A34" s="5" t="str">
        <f>"SUR"&amp;TEXT(Table84[[#This Row],[Count]],"000")&amp;"."&amp;IF(Table84[[#This Row],[Category]]="Essential","E",IF(Table84[[#This Row],[Category]]="Discretionary","D","O"))</f>
        <v>SUR025.E</v>
      </c>
      <c r="B34" s="5">
        <f>MAX(Table83[Count])+ROWS(INDEX(Table84[Count],1):Table84[[#This Row],[Count]])</f>
        <v>25</v>
      </c>
      <c r="C34" s="5" t="s">
        <v>92</v>
      </c>
      <c r="D34" s="5" t="s">
        <v>1792</v>
      </c>
      <c r="E34" s="5" t="s">
        <v>13</v>
      </c>
      <c r="F34" s="5"/>
      <c r="G34" s="5" t="s">
        <v>127</v>
      </c>
      <c r="H34" s="5" t="s">
        <v>127</v>
      </c>
      <c r="I34" s="5"/>
      <c r="J34" s="5"/>
      <c r="K34" s="5"/>
      <c r="L34" s="5"/>
      <c r="M34" s="5"/>
      <c r="N34" s="5"/>
      <c r="O34" s="5"/>
      <c r="P34" s="5"/>
    </row>
    <row r="35" spans="1:18" ht="14.25" customHeight="1" x14ac:dyDescent="0.25">
      <c r="A35" s="5" t="str">
        <f>"SUR"&amp;TEXT(Table84[[#This Row],[Count]],"000")&amp;"."&amp;IF(Table84[[#This Row],[Category]]="Essential","E",IF(Table84[[#This Row],[Category]]="Discretionary","D","O"))</f>
        <v>SUR026.D</v>
      </c>
      <c r="B35" s="5">
        <f>MAX(Table83[Count])+ROWS(INDEX(Table84[Count],1):Table84[[#This Row],[Count]])</f>
        <v>26</v>
      </c>
      <c r="C35" s="5" t="s">
        <v>92</v>
      </c>
      <c r="D35" s="5" t="s">
        <v>1793</v>
      </c>
      <c r="E35" s="5" t="s">
        <v>18</v>
      </c>
      <c r="F35" s="5"/>
      <c r="G35" s="5" t="s">
        <v>127</v>
      </c>
      <c r="H35" s="5" t="s">
        <v>127</v>
      </c>
      <c r="I35" s="5"/>
      <c r="J35" s="5"/>
      <c r="K35" s="5"/>
      <c r="L35" s="5"/>
      <c r="M35" s="5"/>
      <c r="N35" s="5"/>
      <c r="O35" s="5"/>
      <c r="P35" s="5"/>
    </row>
    <row r="36" spans="1:18" ht="26.25" customHeight="1" x14ac:dyDescent="0.25">
      <c r="A36" s="5" t="str">
        <f>"SUR"&amp;TEXT(Table84[[#This Row],[Count]],"000")&amp;"."&amp;IF(Table84[[#This Row],[Category]]="Essential","E",IF(Table84[[#This Row],[Category]]="Discretionary","D","O"))</f>
        <v>SUR027.D</v>
      </c>
      <c r="B36" s="5">
        <f>MAX(Table83[Count])+ROWS(INDEX(Table84[Count],1):Table84[[#This Row],[Count]])</f>
        <v>27</v>
      </c>
      <c r="C36" s="5" t="s">
        <v>92</v>
      </c>
      <c r="D36" s="5" t="s">
        <v>1794</v>
      </c>
      <c r="E36" s="5" t="s">
        <v>18</v>
      </c>
      <c r="F36" s="5"/>
      <c r="G36" s="5" t="s">
        <v>127</v>
      </c>
      <c r="H36" s="5" t="s">
        <v>127</v>
      </c>
      <c r="I36" s="5"/>
      <c r="J36" s="5"/>
      <c r="K36" s="5"/>
      <c r="L36" s="5"/>
      <c r="M36" s="5"/>
      <c r="N36" s="5"/>
      <c r="O36" s="5"/>
      <c r="P36" s="5"/>
    </row>
    <row r="37" spans="1:18" ht="30.75" customHeight="1" x14ac:dyDescent="0.25">
      <c r="A37" s="5" t="str">
        <f>"SUR"&amp;TEXT(Table84[[#This Row],[Count]],"000")&amp;"."&amp;IF(Table84[[#This Row],[Category]]="Essential","E",IF(Table84[[#This Row],[Category]]="Discretionary","D","O"))</f>
        <v>SUR028.D</v>
      </c>
      <c r="B37" s="5">
        <f>MAX(Table83[Count])+ROWS(INDEX(Table84[Count],1):Table84[[#This Row],[Count]])</f>
        <v>28</v>
      </c>
      <c r="C37" s="5" t="s">
        <v>92</v>
      </c>
      <c r="D37" s="5" t="s">
        <v>458</v>
      </c>
      <c r="E37" s="5" t="s">
        <v>18</v>
      </c>
      <c r="F37" s="5"/>
      <c r="G37" s="5" t="s">
        <v>127</v>
      </c>
      <c r="H37" s="5" t="s">
        <v>127</v>
      </c>
      <c r="I37" s="5" t="s">
        <v>127</v>
      </c>
      <c r="J37" s="5"/>
      <c r="K37" s="5"/>
      <c r="L37" s="5"/>
      <c r="M37" s="5"/>
      <c r="N37" s="5"/>
      <c r="O37" s="5"/>
      <c r="P37" s="5"/>
      <c r="R37" s="5" t="s">
        <v>1795</v>
      </c>
    </row>
    <row r="38" spans="1:18" ht="14.25" customHeight="1" x14ac:dyDescent="0.25">
      <c r="A38" s="5" t="str">
        <f>"SUR"&amp;TEXT(Table84[[#This Row],[Count]],"000")&amp;"."&amp;IF(Table84[[#This Row],[Category]]="Essential","E",IF(Table84[[#This Row],[Category]]="Discretionary","D","O"))</f>
        <v>SUR029.D</v>
      </c>
      <c r="B38" s="5">
        <f>MAX(Table83[Count])+ROWS(INDEX(Table84[Count],1):Table84[[#This Row],[Count]])</f>
        <v>29</v>
      </c>
      <c r="C38" s="5" t="s">
        <v>92</v>
      </c>
      <c r="D38" s="5" t="s">
        <v>1796</v>
      </c>
      <c r="E38" s="5" t="s">
        <v>18</v>
      </c>
      <c r="F38" s="5"/>
      <c r="G38" s="5" t="s">
        <v>127</v>
      </c>
      <c r="H38" s="5" t="s">
        <v>127</v>
      </c>
      <c r="I38" s="5"/>
      <c r="J38" s="5"/>
      <c r="K38" s="5"/>
      <c r="L38" s="5"/>
      <c r="M38" s="5"/>
      <c r="N38" s="5"/>
      <c r="O38" s="5"/>
      <c r="P38" s="5"/>
      <c r="R38" s="5" t="s">
        <v>1797</v>
      </c>
    </row>
    <row r="39" spans="1:18" ht="14.25" customHeight="1" x14ac:dyDescent="0.25">
      <c r="A39" s="5" t="str">
        <f>"SUR"&amp;TEXT(Table84[[#This Row],[Count]],"000")&amp;"."&amp;IF(Table84[[#This Row],[Category]]="Essential","E",IF(Table84[[#This Row],[Category]]="Discretionary","D","O"))</f>
        <v>SUR030.D</v>
      </c>
      <c r="B39" s="5">
        <f>MAX(Table83[Count])+ROWS(INDEX(Table84[Count],1):Table84[[#This Row],[Count]])</f>
        <v>30</v>
      </c>
      <c r="C39" s="5" t="s">
        <v>92</v>
      </c>
      <c r="D39" s="5" t="s">
        <v>1798</v>
      </c>
      <c r="E39" s="5" t="s">
        <v>18</v>
      </c>
      <c r="F39" s="5"/>
      <c r="G39" s="5" t="s">
        <v>127</v>
      </c>
      <c r="H39" s="5" t="s">
        <v>127</v>
      </c>
      <c r="I39" s="5"/>
      <c r="J39" s="5"/>
      <c r="K39" s="5"/>
      <c r="L39" s="5"/>
      <c r="M39" s="5"/>
      <c r="N39" s="5"/>
      <c r="O39" s="5"/>
      <c r="P39" s="5"/>
      <c r="R39" s="5" t="s">
        <v>1799</v>
      </c>
    </row>
    <row r="40" spans="1:18" ht="14.25" customHeight="1" x14ac:dyDescent="0.25">
      <c r="A40" s="5" t="str">
        <f>"SUR"&amp;TEXT(Table84[[#This Row],[Count]],"000")&amp;"."&amp;IF(Table84[[#This Row],[Category]]="Essential","E",IF(Table84[[#This Row],[Category]]="Discretionary","D","O"))</f>
        <v>SUR031.E</v>
      </c>
      <c r="B40" s="5">
        <f>MAX(Table83[Count])+ROWS(INDEX(Table84[Count],1):Table84[[#This Row],[Count]])</f>
        <v>31</v>
      </c>
      <c r="C40" s="5" t="s">
        <v>92</v>
      </c>
      <c r="D40" s="5" t="s">
        <v>1800</v>
      </c>
      <c r="E40" s="5" t="s">
        <v>13</v>
      </c>
      <c r="F40" s="5"/>
      <c r="G40" s="5" t="s">
        <v>127</v>
      </c>
      <c r="H40" s="5"/>
      <c r="I40" s="5"/>
      <c r="J40" s="5"/>
      <c r="K40" s="5"/>
      <c r="L40" s="5"/>
      <c r="M40" s="5"/>
      <c r="N40" s="5"/>
      <c r="O40" s="5"/>
      <c r="P40" s="5"/>
      <c r="R40" s="5" t="s">
        <v>1801</v>
      </c>
    </row>
    <row r="41" spans="1:18" ht="14.25" customHeight="1" x14ac:dyDescent="0.25">
      <c r="A41" s="5" t="str">
        <f>"SUR"&amp;TEXT(Table84[[#This Row],[Count]],"000")&amp;"."&amp;IF(Table84[[#This Row],[Category]]="Essential","E",IF(Table84[[#This Row],[Category]]="Discretionary","D","O"))</f>
        <v>SUR032.E</v>
      </c>
      <c r="B41" s="5">
        <f>MAX(Table83[Count])+ROWS(INDEX(Table84[Count],1):Table84[[#This Row],[Count]])</f>
        <v>32</v>
      </c>
      <c r="C41" s="5" t="s">
        <v>92</v>
      </c>
      <c r="D41" s="5" t="s">
        <v>1802</v>
      </c>
      <c r="E41" s="5" t="s">
        <v>13</v>
      </c>
      <c r="F41" s="5"/>
      <c r="G41" s="5" t="s">
        <v>127</v>
      </c>
      <c r="H41" s="5" t="s">
        <v>127</v>
      </c>
      <c r="I41" s="5"/>
      <c r="J41" s="5"/>
      <c r="K41" s="5"/>
      <c r="L41" s="5"/>
      <c r="M41" s="5"/>
      <c r="N41" s="5"/>
      <c r="O41" s="5"/>
      <c r="P41" s="5"/>
      <c r="R41" s="5" t="s">
        <v>1787</v>
      </c>
    </row>
    <row r="42" spans="1:18" ht="14.25" customHeight="1" x14ac:dyDescent="0.25">
      <c r="A42" s="5" t="str">
        <f>"SUR"&amp;TEXT(Table84[[#This Row],[Count]],"000")&amp;"."&amp;IF(Table84[[#This Row],[Category]]="Essential","E",IF(Table84[[#This Row],[Category]]="Discretionary","D","O"))</f>
        <v>SUR033.D</v>
      </c>
      <c r="B42" s="5">
        <f>MAX(Table83[Count])+ROWS(INDEX(Table84[Count],1):Table84[[#This Row],[Count]])</f>
        <v>33</v>
      </c>
      <c r="C42" s="5" t="s">
        <v>92</v>
      </c>
      <c r="D42" s="5" t="s">
        <v>1803</v>
      </c>
      <c r="E42" s="5" t="s">
        <v>18</v>
      </c>
      <c r="F42" s="5"/>
      <c r="G42" s="5" t="s">
        <v>127</v>
      </c>
      <c r="H42" s="5" t="s">
        <v>127</v>
      </c>
      <c r="I42" s="5" t="s">
        <v>127</v>
      </c>
      <c r="J42" s="5" t="s">
        <v>127</v>
      </c>
      <c r="K42" s="5"/>
      <c r="L42" s="5"/>
      <c r="M42" s="5"/>
      <c r="N42" s="5"/>
      <c r="O42" s="5"/>
      <c r="P42" s="5"/>
    </row>
    <row r="43" spans="1:18" ht="30" x14ac:dyDescent="0.25">
      <c r="A43" s="5" t="str">
        <f>"SUR"&amp;TEXT(Table84[[#This Row],[Count]],"000")&amp;"."&amp;IF(Table84[[#This Row],[Category]]="Essential","E",IF(Table84[[#This Row],[Category]]="Discretionary","D","O"))</f>
        <v>SUR034.D</v>
      </c>
      <c r="B43" s="5">
        <f>MAX(Table83[Count])+ROWS(INDEX(Table84[Count],1):Table84[[#This Row],[Count]])</f>
        <v>34</v>
      </c>
      <c r="C43" s="5" t="s">
        <v>92</v>
      </c>
      <c r="D43" s="5" t="s">
        <v>1804</v>
      </c>
      <c r="E43" s="5" t="s">
        <v>18</v>
      </c>
      <c r="F43" s="5" t="s">
        <v>1380</v>
      </c>
      <c r="G43" s="5" t="s">
        <v>127</v>
      </c>
      <c r="H43" s="5" t="s">
        <v>127</v>
      </c>
      <c r="I43" s="5"/>
      <c r="J43" s="5"/>
      <c r="K43" s="5"/>
      <c r="L43" s="5" t="s">
        <v>127</v>
      </c>
      <c r="M43" s="5" t="s">
        <v>127</v>
      </c>
      <c r="N43" s="5"/>
      <c r="O43" s="5"/>
      <c r="P43" s="5"/>
    </row>
    <row r="44" spans="1:18" ht="30" x14ac:dyDescent="0.25">
      <c r="A44" s="5" t="str">
        <f>"SUR"&amp;TEXT(Table84[[#This Row],[Count]],"000")&amp;"."&amp;IF(Table84[[#This Row],[Category]]="Essential","E",IF(Table84[[#This Row],[Category]]="Discretionary","D","O"))</f>
        <v>SUR035.D</v>
      </c>
      <c r="B44" s="5">
        <f>MAX(Table83[Count])+ROWS(INDEX(Table84[Count],1):Table84[[#This Row],[Count]])</f>
        <v>35</v>
      </c>
      <c r="C44" s="5" t="s">
        <v>92</v>
      </c>
      <c r="D44" s="5" t="s">
        <v>1805</v>
      </c>
      <c r="E44" s="5" t="s">
        <v>18</v>
      </c>
      <c r="F44" s="5"/>
      <c r="G44" s="5"/>
      <c r="H44" s="5" t="s">
        <v>127</v>
      </c>
      <c r="I44" s="5"/>
      <c r="J44" s="5"/>
      <c r="K44" s="5"/>
      <c r="L44" s="5"/>
      <c r="M44" s="5"/>
      <c r="N44" s="5"/>
      <c r="O44" s="5"/>
      <c r="P44" s="5"/>
      <c r="R44" s="5" t="s">
        <v>1806</v>
      </c>
    </row>
    <row r="45" spans="1:18" ht="14.25" customHeight="1" x14ac:dyDescent="0.25">
      <c r="A45" s="5" t="str">
        <f>"SUR"&amp;TEXT(Table84[[#This Row],[Count]],"000")&amp;"."&amp;IF(Table84[[#This Row],[Category]]="Essential","E",IF(Table84[[#This Row],[Category]]="Discretionary","D","O"))</f>
        <v>SUR036.D</v>
      </c>
      <c r="B45" s="5">
        <f>MAX(Table83[Count])+ROWS(INDEX(Table84[Count],1):Table84[[#This Row],[Count]])</f>
        <v>36</v>
      </c>
      <c r="C45" s="5" t="s">
        <v>92</v>
      </c>
      <c r="D45" s="5" t="s">
        <v>1807</v>
      </c>
      <c r="E45" s="5" t="s">
        <v>18</v>
      </c>
      <c r="F45" s="5"/>
      <c r="G45" s="5" t="s">
        <v>127</v>
      </c>
      <c r="H45" s="5" t="s">
        <v>127</v>
      </c>
      <c r="I45" s="5" t="s">
        <v>127</v>
      </c>
      <c r="J45" s="5" t="s">
        <v>127</v>
      </c>
      <c r="K45" s="5"/>
      <c r="L45" s="5"/>
      <c r="M45" s="5"/>
      <c r="N45" s="5"/>
      <c r="O45" s="5"/>
      <c r="P45" s="5"/>
    </row>
    <row r="46" spans="1:18" ht="14.25" customHeight="1" x14ac:dyDescent="0.25">
      <c r="A46" s="5" t="str">
        <f>"SUR"&amp;TEXT(Table84[[#This Row],[Count]],"000")&amp;"."&amp;IF(Table84[[#This Row],[Category]]="Essential","E",IF(Table84[[#This Row],[Category]]="Discretionary","D","O"))</f>
        <v>SUR037.D</v>
      </c>
      <c r="B46" s="5">
        <f>MAX(Table83[Count])+ROWS(INDEX(Table84[Count],1):Table84[[#This Row],[Count]])</f>
        <v>37</v>
      </c>
      <c r="C46" s="5" t="s">
        <v>92</v>
      </c>
      <c r="D46" s="5" t="s">
        <v>1808</v>
      </c>
      <c r="E46" s="5" t="s">
        <v>18</v>
      </c>
      <c r="F46" s="5" t="s">
        <v>127</v>
      </c>
      <c r="G46" s="5"/>
      <c r="H46" s="5"/>
      <c r="I46" s="5"/>
      <c r="J46" s="5"/>
      <c r="K46" s="5"/>
      <c r="L46" s="5"/>
      <c r="M46" s="5"/>
      <c r="N46" s="5"/>
      <c r="O46" s="5"/>
      <c r="P46" s="5"/>
    </row>
    <row r="47" spans="1:18" ht="14.25" customHeight="1" x14ac:dyDescent="0.25">
      <c r="A47" s="5" t="str">
        <f>"SUR"&amp;TEXT(Table84[[#This Row],[Count]],"000")&amp;"."&amp;IF(Table84[[#This Row],[Category]]="Essential","E",IF(Table84[[#This Row],[Category]]="Discretionary","D","O"))</f>
        <v>SUR038.D</v>
      </c>
      <c r="B47" s="5">
        <f>MAX(Table83[Count])+ROWS(INDEX(Table84[Count],1):Table84[[#This Row],[Count]])</f>
        <v>38</v>
      </c>
      <c r="C47" s="5" t="s">
        <v>92</v>
      </c>
      <c r="D47" s="5" t="s">
        <v>1809</v>
      </c>
      <c r="E47" s="5" t="s">
        <v>18</v>
      </c>
      <c r="F47" s="5"/>
      <c r="G47" s="5" t="s">
        <v>127</v>
      </c>
      <c r="H47" s="5" t="s">
        <v>127</v>
      </c>
      <c r="I47" s="5"/>
      <c r="J47" s="5"/>
      <c r="K47" s="5"/>
      <c r="L47" s="5"/>
      <c r="M47" s="5"/>
      <c r="N47" s="5"/>
      <c r="O47" s="5"/>
      <c r="P47" s="5"/>
      <c r="R47" s="5" t="s">
        <v>1810</v>
      </c>
    </row>
    <row r="48" spans="1:18" ht="30" x14ac:dyDescent="0.25">
      <c r="A48" s="5" t="str">
        <f>"SUR"&amp;TEXT(Table84[[#This Row],[Count]],"000")&amp;"."&amp;IF(Table84[[#This Row],[Category]]="Essential","E",IF(Table84[[#This Row],[Category]]="Discretionary","D","O"))</f>
        <v>SUR039.D</v>
      </c>
      <c r="B48" s="5">
        <f>MAX(Table83[Count])+ROWS(INDEX(Table84[Count],1):Table84[[#This Row],[Count]])</f>
        <v>39</v>
      </c>
      <c r="C48" s="5" t="s">
        <v>92</v>
      </c>
      <c r="D48" s="5" t="s">
        <v>1811</v>
      </c>
      <c r="E48" s="5" t="s">
        <v>18</v>
      </c>
      <c r="F48" s="5"/>
      <c r="G48" s="5" t="s">
        <v>127</v>
      </c>
      <c r="H48" s="5" t="s">
        <v>127</v>
      </c>
      <c r="I48" s="5"/>
      <c r="J48" s="5"/>
      <c r="K48" s="5"/>
      <c r="L48" s="5"/>
      <c r="M48" s="5"/>
      <c r="N48" s="5"/>
      <c r="O48" s="5"/>
      <c r="P48" s="5"/>
      <c r="R48" s="5" t="s">
        <v>1795</v>
      </c>
    </row>
    <row r="49" spans="1:18" ht="14.25" customHeight="1" x14ac:dyDescent="0.25">
      <c r="A49" s="5" t="str">
        <f>"SUR"&amp;TEXT(Table84[[#This Row],[Count]],"000")&amp;"."&amp;IF(Table84[[#This Row],[Category]]="Essential","E",IF(Table84[[#This Row],[Category]]="Discretionary","D","O"))</f>
        <v>SUR040.D</v>
      </c>
      <c r="B49" s="5">
        <f>MAX(Table83[Count])+ROWS(INDEX(Table84[Count],1):Table84[[#This Row],[Count]])</f>
        <v>40</v>
      </c>
      <c r="C49" s="5" t="s">
        <v>92</v>
      </c>
      <c r="D49" s="5" t="s">
        <v>1812</v>
      </c>
      <c r="E49" s="5" t="s">
        <v>18</v>
      </c>
      <c r="F49" s="5"/>
      <c r="G49" s="5" t="s">
        <v>127</v>
      </c>
      <c r="H49" s="5" t="s">
        <v>127</v>
      </c>
      <c r="I49" s="5"/>
      <c r="J49" s="5"/>
      <c r="K49" s="5"/>
      <c r="L49" s="5"/>
      <c r="M49" s="5"/>
      <c r="N49" s="5"/>
      <c r="O49" s="5"/>
      <c r="P49" s="5"/>
      <c r="R49" s="5" t="s">
        <v>1813</v>
      </c>
    </row>
    <row r="50" spans="1:18" ht="14.25" customHeight="1" x14ac:dyDescent="0.25">
      <c r="A50" s="5" t="str">
        <f>"SUR"&amp;TEXT(Table84[[#This Row],[Count]],"000")&amp;"."&amp;IF(Table84[[#This Row],[Category]]="Essential","E",IF(Table84[[#This Row],[Category]]="Discretionary","D","O"))</f>
        <v>SUR041.D</v>
      </c>
      <c r="B50" s="5">
        <f>MAX(Table83[Count])+ROWS(INDEX(Table84[Count],1):Table84[[#This Row],[Count]])</f>
        <v>41</v>
      </c>
      <c r="C50" s="5" t="s">
        <v>92</v>
      </c>
      <c r="D50" s="5" t="s">
        <v>1814</v>
      </c>
      <c r="E50" s="5" t="s">
        <v>18</v>
      </c>
      <c r="F50" s="5"/>
      <c r="G50" s="5" t="s">
        <v>127</v>
      </c>
      <c r="H50" s="5" t="s">
        <v>127</v>
      </c>
      <c r="I50" s="5"/>
      <c r="J50" s="5"/>
      <c r="K50" s="5"/>
      <c r="L50" s="5"/>
      <c r="M50" s="5"/>
      <c r="N50" s="5"/>
      <c r="O50" s="5"/>
      <c r="P50" s="5"/>
      <c r="R50" s="5" t="s">
        <v>1815</v>
      </c>
    </row>
    <row r="51" spans="1:18" ht="60" x14ac:dyDescent="0.25">
      <c r="A51" s="5" t="str">
        <f>"SUR"&amp;TEXT(Table84[[#This Row],[Count]],"000")&amp;"."&amp;IF(Table84[[#This Row],[Category]]="Essential","E",IF(Table84[[#This Row],[Category]]="Discretionary","D","O"))</f>
        <v>SUR042.D</v>
      </c>
      <c r="B51" s="5">
        <f>MAX(Table83[Count])+ROWS(INDEX(Table84[Count],1):Table84[[#This Row],[Count]])</f>
        <v>42</v>
      </c>
      <c r="C51" s="5" t="s">
        <v>92</v>
      </c>
      <c r="D51" s="5" t="s">
        <v>1816</v>
      </c>
      <c r="E51" s="5" t="s">
        <v>18</v>
      </c>
      <c r="F51" s="5" t="s">
        <v>127</v>
      </c>
      <c r="G51" s="5"/>
      <c r="H51" s="5"/>
      <c r="I51" s="5"/>
      <c r="J51" s="5"/>
      <c r="K51" s="5"/>
      <c r="L51" s="5"/>
      <c r="M51" s="5"/>
      <c r="N51" s="5"/>
      <c r="O51" s="5"/>
      <c r="P51" s="5"/>
      <c r="R51" s="5" t="s">
        <v>1817</v>
      </c>
    </row>
    <row r="52" spans="1:18" ht="14.25" customHeight="1" x14ac:dyDescent="0.25">
      <c r="A52" s="5" t="str">
        <f>"SUR"&amp;TEXT(Table84[[#This Row],[Count]],"000")&amp;"."&amp;IF(Table84[[#This Row],[Category]]="Essential","E",IF(Table84[[#This Row],[Category]]="Discretionary","D","O"))</f>
        <v>SUR043.D</v>
      </c>
      <c r="B52" s="5">
        <f>MAX(Table83[Count])+ROWS(INDEX(Table84[Count],1):Table84[[#This Row],[Count]])</f>
        <v>43</v>
      </c>
      <c r="C52" s="5" t="s">
        <v>92</v>
      </c>
      <c r="D52" s="5" t="s">
        <v>1818</v>
      </c>
      <c r="E52" s="5" t="s">
        <v>18</v>
      </c>
      <c r="F52" s="5"/>
      <c r="G52" s="5" t="s">
        <v>127</v>
      </c>
      <c r="H52" s="5" t="s">
        <v>127</v>
      </c>
      <c r="I52" s="5"/>
      <c r="J52" s="5"/>
      <c r="K52" s="5"/>
      <c r="L52" s="5"/>
      <c r="M52" s="5"/>
      <c r="N52" s="5"/>
      <c r="O52" s="5"/>
      <c r="P52" s="5"/>
    </row>
    <row r="53" spans="1:18" ht="14.25" customHeight="1" x14ac:dyDescent="0.25">
      <c r="A53" s="5" t="str">
        <f>"SUR"&amp;TEXT(Table84[[#This Row],[Count]],"000")&amp;"."&amp;IF(Table84[[#This Row],[Category]]="Essential","E",IF(Table84[[#This Row],[Category]]="Discretionary","D","O"))</f>
        <v>SUR044.D</v>
      </c>
      <c r="B53" s="5">
        <f>MAX(Table83[Count])+ROWS(INDEX(Table84[Count],1):Table84[[#This Row],[Count]])</f>
        <v>44</v>
      </c>
      <c r="C53" s="5" t="s">
        <v>92</v>
      </c>
      <c r="D53" s="5" t="s">
        <v>1819</v>
      </c>
      <c r="E53" s="5" t="s">
        <v>18</v>
      </c>
      <c r="F53" s="5" t="s">
        <v>1380</v>
      </c>
      <c r="G53" s="5" t="s">
        <v>127</v>
      </c>
      <c r="H53" s="5" t="s">
        <v>127</v>
      </c>
      <c r="I53" s="5"/>
      <c r="J53" s="5"/>
      <c r="K53" s="5"/>
      <c r="L53" s="5"/>
      <c r="M53" s="5"/>
      <c r="N53" s="5"/>
      <c r="O53" s="5"/>
      <c r="P53" s="5"/>
      <c r="R53" s="5" t="s">
        <v>1820</v>
      </c>
    </row>
    <row r="54" spans="1:18" ht="26.25" customHeight="1" x14ac:dyDescent="0.25">
      <c r="A54" s="5" t="str">
        <f>"SUR"&amp;TEXT(Table84[[#This Row],[Count]],"000")&amp;"."&amp;IF(Table84[[#This Row],[Category]]="Essential","E",IF(Table84[[#This Row],[Category]]="Discretionary","D","O"))</f>
        <v>SUR045.D</v>
      </c>
      <c r="B54" s="5">
        <f>MAX(Table83[Count])+ROWS(INDEX(Table84[Count],1):Table84[[#This Row],[Count]])</f>
        <v>45</v>
      </c>
      <c r="C54" s="5" t="s">
        <v>92</v>
      </c>
      <c r="D54" s="5" t="s">
        <v>1821</v>
      </c>
      <c r="E54" s="5" t="s">
        <v>18</v>
      </c>
      <c r="F54" s="5" t="s">
        <v>1380</v>
      </c>
      <c r="G54" s="5" t="s">
        <v>127</v>
      </c>
      <c r="H54" s="5" t="s">
        <v>127</v>
      </c>
      <c r="I54" s="5"/>
      <c r="J54" s="5"/>
      <c r="K54" s="5"/>
      <c r="L54" s="5"/>
      <c r="M54" s="5"/>
      <c r="N54" s="5"/>
      <c r="O54" s="5"/>
      <c r="P54" s="5"/>
    </row>
    <row r="55" spans="1:18" ht="14.25" customHeight="1" x14ac:dyDescent="0.25">
      <c r="A55" s="5" t="str">
        <f>"SUR"&amp;TEXT(Table84[[#This Row],[Count]],"000")&amp;"."&amp;IF(Table84[[#This Row],[Category]]="Essential","E",IF(Table84[[#This Row],[Category]]="Discretionary","D","O"))</f>
        <v>SUR046.D</v>
      </c>
      <c r="B55" s="5">
        <f>MAX(Table83[Count])+ROWS(INDEX(Table84[Count],1):Table84[[#This Row],[Count]])</f>
        <v>46</v>
      </c>
      <c r="C55" s="5" t="s">
        <v>92</v>
      </c>
      <c r="D55" s="5" t="s">
        <v>1822</v>
      </c>
      <c r="E55" s="5" t="s">
        <v>18</v>
      </c>
      <c r="F55" s="5" t="s">
        <v>1380</v>
      </c>
      <c r="G55" s="5" t="s">
        <v>127</v>
      </c>
      <c r="H55" s="5" t="s">
        <v>127</v>
      </c>
      <c r="I55" s="5"/>
      <c r="J55" s="5"/>
      <c r="K55" s="5"/>
      <c r="L55" s="5"/>
      <c r="M55" s="5"/>
      <c r="N55" s="5"/>
      <c r="O55" s="5"/>
      <c r="P55" s="5"/>
    </row>
    <row r="56" spans="1:18" ht="14.25" customHeight="1" x14ac:dyDescent="0.25">
      <c r="A56" s="5" t="str">
        <f>"SUR"&amp;TEXT(Table84[[#This Row],[Count]],"000")&amp;"."&amp;IF(Table84[[#This Row],[Category]]="Essential","E",IF(Table84[[#This Row],[Category]]="Discretionary","D","O"))</f>
        <v>SUR047.D</v>
      </c>
      <c r="B56" s="5">
        <f>MAX(Table83[Count])+ROWS(INDEX(Table84[Count],1):Table84[[#This Row],[Count]])</f>
        <v>47</v>
      </c>
      <c r="C56" s="5" t="s">
        <v>92</v>
      </c>
      <c r="D56" s="5" t="s">
        <v>1823</v>
      </c>
      <c r="E56" s="5" t="s">
        <v>18</v>
      </c>
      <c r="F56" s="5" t="s">
        <v>1380</v>
      </c>
      <c r="G56" s="5" t="s">
        <v>127</v>
      </c>
      <c r="H56" s="5" t="s">
        <v>127</v>
      </c>
      <c r="I56" s="5"/>
      <c r="J56" s="5"/>
      <c r="K56" s="5"/>
      <c r="L56" s="5"/>
      <c r="M56" s="5"/>
      <c r="N56" s="5"/>
      <c r="O56" s="5"/>
      <c r="P56" s="5"/>
      <c r="R56" s="5" t="s">
        <v>1824</v>
      </c>
    </row>
    <row r="57" spans="1:18" ht="14.25" customHeight="1" x14ac:dyDescent="0.25">
      <c r="A57" s="5" t="str">
        <f>"SUR"&amp;TEXT(Table84[[#This Row],[Count]],"000")&amp;"."&amp;IF(Table84[[#This Row],[Category]]="Essential","E",IF(Table84[[#This Row],[Category]]="Discretionary","D","O"))</f>
        <v>SUR048.D</v>
      </c>
      <c r="B57" s="5">
        <f>MAX(Table83[Count])+ROWS(INDEX(Table84[Count],1):Table84[[#This Row],[Count]])</f>
        <v>48</v>
      </c>
      <c r="C57" s="5" t="s">
        <v>92</v>
      </c>
      <c r="D57" s="5" t="s">
        <v>1825</v>
      </c>
      <c r="E57" s="5" t="s">
        <v>18</v>
      </c>
      <c r="F57" s="5" t="s">
        <v>1380</v>
      </c>
      <c r="G57" s="5" t="s">
        <v>127</v>
      </c>
      <c r="H57" s="5" t="s">
        <v>127</v>
      </c>
      <c r="I57" s="5"/>
      <c r="J57" s="5"/>
      <c r="K57" s="5"/>
      <c r="L57" s="5" t="s">
        <v>1380</v>
      </c>
      <c r="M57" s="5" t="s">
        <v>1380</v>
      </c>
      <c r="N57" s="5"/>
      <c r="O57" s="5"/>
      <c r="P57" s="5"/>
    </row>
    <row r="58" spans="1:18" ht="14.25" customHeight="1" x14ac:dyDescent="0.25">
      <c r="A58" s="5" t="str">
        <f>"SUR"&amp;TEXT(Table84[[#This Row],[Count]],"000")&amp;"."&amp;IF(Table84[[#This Row],[Category]]="Essential","E",IF(Table84[[#This Row],[Category]]="Discretionary","D","O"))</f>
        <v>SUR049.D</v>
      </c>
      <c r="B58" s="5">
        <f>MAX(Table83[Count])+ROWS(INDEX(Table84[Count],1):Table84[[#This Row],[Count]])</f>
        <v>49</v>
      </c>
      <c r="C58" s="5" t="s">
        <v>92</v>
      </c>
      <c r="D58" s="5" t="s">
        <v>1826</v>
      </c>
      <c r="E58" s="5" t="s">
        <v>18</v>
      </c>
      <c r="F58" s="5" t="s">
        <v>1380</v>
      </c>
      <c r="G58" s="5" t="s">
        <v>127</v>
      </c>
      <c r="H58" s="5" t="s">
        <v>127</v>
      </c>
      <c r="I58" s="5"/>
      <c r="J58" s="5"/>
      <c r="K58" s="5"/>
      <c r="L58" s="5"/>
      <c r="M58" s="5"/>
      <c r="N58" s="5"/>
      <c r="O58" s="5"/>
      <c r="P58" s="5"/>
      <c r="R58" s="5" t="s">
        <v>1827</v>
      </c>
    </row>
    <row r="59" spans="1:18" ht="14.25" customHeight="1" x14ac:dyDescent="0.25">
      <c r="A59" s="5" t="str">
        <f>"SUR"&amp;TEXT(Table84[[#This Row],[Count]],"000")&amp;"."&amp;IF(Table84[[#This Row],[Category]]="Essential","E",IF(Table84[[#This Row],[Category]]="Discretionary","D","O"))</f>
        <v>SUR050.D</v>
      </c>
      <c r="B59" s="5">
        <f>MAX(Table83[Count])+ROWS(INDEX(Table84[Count],1):Table84[[#This Row],[Count]])</f>
        <v>50</v>
      </c>
      <c r="C59" s="5" t="s">
        <v>92</v>
      </c>
      <c r="D59" s="5" t="s">
        <v>1828</v>
      </c>
      <c r="E59" s="5" t="s">
        <v>18</v>
      </c>
      <c r="F59" s="5" t="s">
        <v>1380</v>
      </c>
      <c r="G59" s="5" t="s">
        <v>127</v>
      </c>
      <c r="H59" s="5" t="s">
        <v>127</v>
      </c>
      <c r="I59" s="5"/>
      <c r="J59" s="5"/>
      <c r="K59" s="5"/>
      <c r="L59" s="5"/>
      <c r="M59" s="5"/>
      <c r="N59" s="5"/>
      <c r="O59" s="5"/>
      <c r="P59" s="5"/>
      <c r="R59" s="5" t="s">
        <v>1528</v>
      </c>
    </row>
    <row r="60" spans="1:18" ht="14.25" customHeight="1" x14ac:dyDescent="0.25">
      <c r="A60" s="5"/>
      <c r="B60" s="5"/>
      <c r="E60" s="5"/>
      <c r="F60" s="5"/>
      <c r="G60" s="5"/>
      <c r="H60" s="5"/>
      <c r="I60" s="5"/>
      <c r="J60" s="5"/>
      <c r="K60" s="5"/>
      <c r="L60" s="5"/>
      <c r="M60" s="5"/>
      <c r="N60" s="5"/>
      <c r="O60" s="5"/>
      <c r="P60" s="5"/>
    </row>
    <row r="61" spans="1:18" x14ac:dyDescent="0.25">
      <c r="A61" s="58" t="s">
        <v>94</v>
      </c>
      <c r="B61" s="58"/>
      <c r="C61" s="58"/>
      <c r="D61" s="58"/>
      <c r="E61" s="58"/>
      <c r="F61" s="58"/>
      <c r="G61" s="58"/>
      <c r="H61" s="58"/>
      <c r="I61" s="58"/>
      <c r="J61" s="58"/>
      <c r="K61" s="58"/>
      <c r="L61" s="58"/>
      <c r="M61" s="58"/>
      <c r="N61" s="58"/>
      <c r="O61" s="58"/>
      <c r="P61" s="58"/>
      <c r="Q61" s="58"/>
      <c r="R61" s="58"/>
    </row>
    <row r="63" spans="1:18" x14ac:dyDescent="0.25">
      <c r="A63" s="6" t="s">
        <v>120</v>
      </c>
      <c r="B63" s="6" t="s">
        <v>121</v>
      </c>
      <c r="C63" s="7" t="s">
        <v>122</v>
      </c>
      <c r="D63" s="7" t="s">
        <v>123</v>
      </c>
      <c r="E63" s="6" t="s">
        <v>8</v>
      </c>
      <c r="F63" s="6" t="s">
        <v>124</v>
      </c>
      <c r="G63" s="6" t="s">
        <v>154</v>
      </c>
      <c r="H63" s="6" t="s">
        <v>155</v>
      </c>
      <c r="I63" s="6" t="s">
        <v>156</v>
      </c>
      <c r="J63" s="6" t="s">
        <v>157</v>
      </c>
      <c r="K63" s="6" t="s">
        <v>158</v>
      </c>
      <c r="L63" s="6" t="s">
        <v>159</v>
      </c>
      <c r="M63" s="6" t="s">
        <v>160</v>
      </c>
      <c r="N63" s="6" t="s">
        <v>161</v>
      </c>
      <c r="O63" s="6" t="s">
        <v>162</v>
      </c>
      <c r="P63" s="6" t="s">
        <v>163</v>
      </c>
      <c r="Q63" s="6" t="s">
        <v>164</v>
      </c>
      <c r="R63" s="7" t="s">
        <v>125</v>
      </c>
    </row>
    <row r="64" spans="1:18" x14ac:dyDescent="0.25">
      <c r="A64" s="5" t="str">
        <f>"SUR"&amp;TEXT(Table85[[#This Row],[Count]],"000")&amp;"."&amp;IF(Table85[[#This Row],[Category]]="Essential","E",IF(Table85[[#This Row],[Category]]="Discretionary","D","O"))</f>
        <v>SUR051.D</v>
      </c>
      <c r="B64" s="5">
        <f>MAX(Table84[Count])+ROWS(INDEX(Table85[Count],1):Table85[[#This Row],[Count]])</f>
        <v>51</v>
      </c>
      <c r="C64" s="5" t="s">
        <v>94</v>
      </c>
      <c r="D64" s="5" t="s">
        <v>1829</v>
      </c>
      <c r="E64" s="5" t="s">
        <v>18</v>
      </c>
      <c r="F64" s="5"/>
      <c r="G64" s="5"/>
      <c r="H64" s="5"/>
      <c r="I64" s="5"/>
      <c r="J64" s="5"/>
      <c r="K64" s="5"/>
      <c r="L64" s="5"/>
      <c r="M64" s="5"/>
      <c r="N64" s="5"/>
      <c r="O64" s="5"/>
      <c r="P64" s="5"/>
    </row>
    <row r="65" spans="1:18" ht="30" x14ac:dyDescent="0.25">
      <c r="A65" s="5" t="str">
        <f>"SUR"&amp;TEXT(Table85[[#This Row],[Count]],"000")&amp;"."&amp;IF(Table85[[#This Row],[Category]]="Essential","E",IF(Table85[[#This Row],[Category]]="Discretionary","D","O"))</f>
        <v>SUR052.D</v>
      </c>
      <c r="B65" s="5">
        <f>MAX(Table84[Count])+ROWS(INDEX(Table85[Count],1):Table85[[#This Row],[Count]])</f>
        <v>52</v>
      </c>
      <c r="C65" s="5" t="s">
        <v>94</v>
      </c>
      <c r="D65" s="5" t="s">
        <v>1830</v>
      </c>
      <c r="E65" s="5" t="s">
        <v>18</v>
      </c>
      <c r="F65" s="5"/>
      <c r="G65" s="5"/>
      <c r="H65" s="5"/>
      <c r="I65" s="5"/>
      <c r="J65" s="5"/>
      <c r="K65" s="5"/>
      <c r="L65" s="5"/>
      <c r="M65" s="5"/>
      <c r="N65" s="5"/>
      <c r="O65" s="5"/>
      <c r="P65" s="5"/>
    </row>
    <row r="66" spans="1:18" ht="30" x14ac:dyDescent="0.25">
      <c r="A66" s="5" t="str">
        <f>"SUR"&amp;TEXT(Table85[[#This Row],[Count]],"000")&amp;"."&amp;IF(Table85[[#This Row],[Category]]="Essential","E",IF(Table85[[#This Row],[Category]]="Discretionary","D","O"))</f>
        <v>SUR053.D</v>
      </c>
      <c r="B66" s="5">
        <f>MAX(Table84[Count])+ROWS(INDEX(Table85[Count],1):Table85[[#This Row],[Count]])</f>
        <v>53</v>
      </c>
      <c r="C66" s="5" t="s">
        <v>94</v>
      </c>
      <c r="D66" s="5" t="s">
        <v>1831</v>
      </c>
      <c r="E66" s="5" t="s">
        <v>18</v>
      </c>
      <c r="F66" s="5"/>
      <c r="G66" s="5"/>
      <c r="H66" s="5"/>
      <c r="I66" s="5"/>
      <c r="J66" s="5"/>
      <c r="K66" s="5"/>
      <c r="L66" s="5"/>
      <c r="M66" s="5"/>
      <c r="N66" s="5"/>
      <c r="O66" s="5" t="s">
        <v>127</v>
      </c>
      <c r="P66" s="5" t="s">
        <v>127</v>
      </c>
      <c r="Q66" s="5" t="s">
        <v>127</v>
      </c>
      <c r="R66" s="5" t="s">
        <v>1832</v>
      </c>
    </row>
    <row r="67" spans="1:18" ht="30" x14ac:dyDescent="0.25">
      <c r="A67" s="5" t="str">
        <f>"SUR"&amp;TEXT(Table85[[#This Row],[Count]],"000")&amp;"."&amp;IF(Table85[[#This Row],[Category]]="Essential","E",IF(Table85[[#This Row],[Category]]="Discretionary","D","O"))</f>
        <v>SUR054.D</v>
      </c>
      <c r="B67" s="5">
        <f>MAX(Table84[Count])+ROWS(INDEX(Table85[Count],1):Table85[[#This Row],[Count]])</f>
        <v>54</v>
      </c>
      <c r="C67" s="5" t="s">
        <v>94</v>
      </c>
      <c r="D67" s="5" t="s">
        <v>1833</v>
      </c>
      <c r="E67" s="5" t="s">
        <v>18</v>
      </c>
      <c r="F67" s="5"/>
      <c r="G67" s="5"/>
      <c r="H67" s="5"/>
      <c r="I67" s="5"/>
      <c r="J67" s="5"/>
      <c r="K67" s="5"/>
      <c r="L67" s="5"/>
      <c r="M67" s="5"/>
      <c r="N67" s="5"/>
      <c r="O67" s="5"/>
      <c r="P67" s="5"/>
      <c r="R67" s="5" t="s">
        <v>1834</v>
      </c>
    </row>
    <row r="68" spans="1:18" ht="30" x14ac:dyDescent="0.25">
      <c r="A68" s="5" t="str">
        <f>"SUR"&amp;TEXT(Table85[[#This Row],[Count]],"000")&amp;"."&amp;IF(Table85[[#This Row],[Category]]="Essential","E",IF(Table85[[#This Row],[Category]]="Discretionary","D","O"))</f>
        <v>SUR055.D</v>
      </c>
      <c r="B68" s="5">
        <f>MAX(Table84[Count])+ROWS(INDEX(Table85[Count],1):Table85[[#This Row],[Count]])</f>
        <v>55</v>
      </c>
      <c r="C68" s="5" t="s">
        <v>94</v>
      </c>
      <c r="D68" s="5" t="s">
        <v>1830</v>
      </c>
      <c r="E68" s="5" t="s">
        <v>18</v>
      </c>
      <c r="F68" s="5"/>
      <c r="G68" s="5"/>
      <c r="H68" s="5"/>
      <c r="I68" s="5"/>
      <c r="J68" s="5"/>
      <c r="K68" s="5"/>
      <c r="L68" s="5"/>
      <c r="M68" s="5"/>
      <c r="N68" s="5"/>
      <c r="O68" s="5"/>
      <c r="P68" s="5"/>
    </row>
    <row r="69" spans="1:18" ht="30" x14ac:dyDescent="0.25">
      <c r="A69" s="5" t="str">
        <f>"SUR"&amp;TEXT(Table85[[#This Row],[Count]],"000")&amp;"."&amp;IF(Table85[[#This Row],[Category]]="Essential","E",IF(Table85[[#This Row],[Category]]="Discretionary","D","O"))</f>
        <v>SUR056.D</v>
      </c>
      <c r="B69" s="5">
        <f>MAX(Table84[Count])+ROWS(INDEX(Table85[Count],1):Table85[[#This Row],[Count]])</f>
        <v>56</v>
      </c>
      <c r="C69" s="5" t="s">
        <v>94</v>
      </c>
      <c r="D69" s="5" t="s">
        <v>1767</v>
      </c>
      <c r="E69" s="5" t="s">
        <v>18</v>
      </c>
      <c r="F69" s="5" t="s">
        <v>127</v>
      </c>
      <c r="G69" s="5"/>
      <c r="H69" s="5"/>
      <c r="I69" s="5"/>
      <c r="J69" s="5"/>
      <c r="K69" s="5"/>
      <c r="L69" s="5"/>
      <c r="M69" s="5"/>
      <c r="N69" s="5"/>
      <c r="O69" s="5"/>
      <c r="P69" s="5"/>
      <c r="R69" s="5" t="s">
        <v>1791</v>
      </c>
    </row>
    <row r="70" spans="1:18" ht="30" x14ac:dyDescent="0.25">
      <c r="A70" s="5" t="str">
        <f>"SUR"&amp;TEXT(Table85[[#This Row],[Count]],"000")&amp;"."&amp;IF(Table85[[#This Row],[Category]]="Essential","E",IF(Table85[[#This Row],[Category]]="Discretionary","D","O"))</f>
        <v>SUR057.D</v>
      </c>
      <c r="B70" s="5">
        <f>MAX(Table84[Count])+ROWS(INDEX(Table85[Count],1):Table85[[#This Row],[Count]])</f>
        <v>57</v>
      </c>
      <c r="C70" s="5" t="s">
        <v>94</v>
      </c>
      <c r="D70" s="5" t="s">
        <v>1773</v>
      </c>
      <c r="E70" s="5" t="s">
        <v>18</v>
      </c>
      <c r="F70" s="5"/>
      <c r="G70" s="5" t="s">
        <v>127</v>
      </c>
      <c r="H70" s="5" t="s">
        <v>127</v>
      </c>
      <c r="I70" s="5" t="s">
        <v>127</v>
      </c>
      <c r="J70" s="5"/>
      <c r="K70" s="5"/>
      <c r="L70" s="5"/>
      <c r="M70" s="5"/>
      <c r="N70" s="5"/>
      <c r="O70" s="5"/>
      <c r="P70" s="5"/>
      <c r="R70" s="5" t="s">
        <v>1835</v>
      </c>
    </row>
    <row r="71" spans="1:18" ht="30" x14ac:dyDescent="0.25">
      <c r="A71" s="5" t="str">
        <f>"SUR"&amp;TEXT(Table85[[#This Row],[Count]],"000")&amp;"."&amp;IF(Table85[[#This Row],[Category]]="Essential","E",IF(Table85[[#This Row],[Category]]="Discretionary","D","O"))</f>
        <v>SUR058.D</v>
      </c>
      <c r="B71" s="5">
        <f>MAX(Table84[Count])+ROWS(INDEX(Table85[Count],1):Table85[[#This Row],[Count]])</f>
        <v>58</v>
      </c>
      <c r="C71" s="5" t="s">
        <v>94</v>
      </c>
      <c r="D71" s="5" t="s">
        <v>1836</v>
      </c>
      <c r="E71" s="5" t="s">
        <v>18</v>
      </c>
      <c r="F71" s="5"/>
      <c r="G71" s="5"/>
      <c r="H71" s="5"/>
      <c r="I71" s="5"/>
      <c r="J71" s="5"/>
      <c r="K71" s="5"/>
      <c r="L71" s="5" t="s">
        <v>127</v>
      </c>
      <c r="M71" s="5" t="s">
        <v>127</v>
      </c>
      <c r="N71" s="5" t="s">
        <v>127</v>
      </c>
      <c r="O71" s="5" t="s">
        <v>127</v>
      </c>
      <c r="P71" s="5" t="s">
        <v>127</v>
      </c>
      <c r="Q71" s="5" t="s">
        <v>127</v>
      </c>
      <c r="R71" s="5" t="s">
        <v>1837</v>
      </c>
    </row>
    <row r="72" spans="1:18" x14ac:dyDescent="0.25">
      <c r="A72" s="5" t="str">
        <f>"SUR"&amp;TEXT(Table85[[#This Row],[Count]],"000")&amp;"."&amp;IF(Table85[[#This Row],[Category]]="Essential","E",IF(Table85[[#This Row],[Category]]="Discretionary","D","O"))</f>
        <v>SUR059.D</v>
      </c>
      <c r="B72" s="5">
        <f>MAX(Table84[Count])+ROWS(INDEX(Table85[Count],1):Table85[[#This Row],[Count]])</f>
        <v>59</v>
      </c>
      <c r="C72" s="5" t="s">
        <v>94</v>
      </c>
      <c r="D72" s="5" t="s">
        <v>1838</v>
      </c>
      <c r="E72" s="5" t="s">
        <v>18</v>
      </c>
      <c r="F72" s="5" t="s">
        <v>127</v>
      </c>
      <c r="G72" s="5"/>
      <c r="H72" s="5"/>
      <c r="I72" s="5"/>
      <c r="J72" s="5"/>
      <c r="K72" s="5"/>
      <c r="L72" s="5"/>
      <c r="M72" s="5"/>
      <c r="N72" s="5"/>
      <c r="O72" s="5"/>
      <c r="P72" s="5"/>
      <c r="R72" s="5" t="s">
        <v>1839</v>
      </c>
    </row>
    <row r="73" spans="1:18" ht="30" x14ac:dyDescent="0.25">
      <c r="A73" s="5" t="str">
        <f>"SUR"&amp;TEXT(Table85[[#This Row],[Count]],"000")&amp;"."&amp;IF(Table85[[#This Row],[Category]]="Essential","E",IF(Table85[[#This Row],[Category]]="Discretionary","D","O"))</f>
        <v>SUR060.D</v>
      </c>
      <c r="B73" s="5">
        <f>MAX(Table84[Count])+ROWS(INDEX(Table85[Count],1):Table85[[#This Row],[Count]])</f>
        <v>60</v>
      </c>
      <c r="C73" s="5" t="s">
        <v>94</v>
      </c>
      <c r="D73" s="5" t="s">
        <v>1840</v>
      </c>
      <c r="E73" s="5" t="s">
        <v>18</v>
      </c>
      <c r="F73" s="5" t="s">
        <v>127</v>
      </c>
      <c r="G73" s="5"/>
      <c r="H73" s="5"/>
      <c r="I73" s="5"/>
      <c r="J73" s="5"/>
      <c r="K73" s="5"/>
      <c r="L73" s="5"/>
      <c r="M73" s="5"/>
      <c r="N73" s="5"/>
      <c r="O73" s="5"/>
      <c r="P73" s="5"/>
      <c r="R73" s="5" t="s">
        <v>1839</v>
      </c>
    </row>
    <row r="74" spans="1:18" ht="45" x14ac:dyDescent="0.25">
      <c r="A74" s="5" t="str">
        <f>"SUR"&amp;TEXT(Table85[[#This Row],[Count]],"000")&amp;"."&amp;IF(Table85[[#This Row],[Category]]="Essential","E",IF(Table85[[#This Row],[Category]]="Discretionary","D","O"))</f>
        <v>SUR061.O</v>
      </c>
      <c r="B74" s="5">
        <f>MAX(Table84[Count])+ROWS(INDEX(Table85[Count],1):Table85[[#This Row],[Count]])</f>
        <v>61</v>
      </c>
      <c r="C74" s="5" t="s">
        <v>94</v>
      </c>
      <c r="D74" s="5" t="s">
        <v>1841</v>
      </c>
      <c r="E74" s="5" t="s">
        <v>23</v>
      </c>
      <c r="F74" s="5"/>
      <c r="G74" s="5"/>
      <c r="H74" s="5"/>
      <c r="I74" s="5"/>
      <c r="J74" s="5"/>
      <c r="K74" s="5"/>
      <c r="L74" s="5"/>
      <c r="M74" s="5"/>
      <c r="N74" s="5"/>
      <c r="O74" s="5" t="s">
        <v>127</v>
      </c>
      <c r="P74" s="5" t="s">
        <v>127</v>
      </c>
      <c r="Q74" s="5" t="s">
        <v>127</v>
      </c>
      <c r="R74" s="5" t="s">
        <v>880</v>
      </c>
    </row>
    <row r="75" spans="1:18" x14ac:dyDescent="0.25">
      <c r="A75" s="5" t="str">
        <f>"SUR"&amp;TEXT(Table85[[#This Row],[Count]],"000")&amp;"."&amp;IF(Table85[[#This Row],[Category]]="Essential","E",IF(Table85[[#This Row],[Category]]="Discretionary","D","O"))</f>
        <v>SUR062.D</v>
      </c>
      <c r="B75" s="5">
        <f>MAX(Table84[Count])+ROWS(INDEX(Table85[Count],1):Table85[[#This Row],[Count]])</f>
        <v>62</v>
      </c>
      <c r="C75" s="5" t="s">
        <v>94</v>
      </c>
      <c r="D75" s="5" t="s">
        <v>1776</v>
      </c>
      <c r="E75" s="5" t="s">
        <v>18</v>
      </c>
      <c r="F75" s="5"/>
      <c r="G75" s="5"/>
      <c r="H75" s="5"/>
      <c r="I75" s="5"/>
      <c r="J75" s="5"/>
      <c r="K75" s="5"/>
      <c r="L75" s="5"/>
      <c r="M75" s="5"/>
      <c r="N75" s="5"/>
      <c r="O75" s="5"/>
      <c r="P75" s="5"/>
    </row>
    <row r="76" spans="1:18" ht="30" x14ac:dyDescent="0.25">
      <c r="A76" s="5" t="str">
        <f>"SUR"&amp;TEXT(Table85[[#This Row],[Count]],"000")&amp;"."&amp;IF(Table85[[#This Row],[Category]]="Essential","E",IF(Table85[[#This Row],[Category]]="Discretionary","D","O"))</f>
        <v>SUR063.D</v>
      </c>
      <c r="B76" s="5">
        <f>MAX(Table84[Count])+ROWS(INDEX(Table85[Count],1):Table85[[#This Row],[Count]])</f>
        <v>63</v>
      </c>
      <c r="C76" s="5" t="s">
        <v>94</v>
      </c>
      <c r="D76" s="5" t="s">
        <v>1842</v>
      </c>
      <c r="E76" s="5" t="s">
        <v>18</v>
      </c>
      <c r="F76" s="5"/>
      <c r="G76" s="5"/>
      <c r="H76" s="5"/>
      <c r="I76" s="5"/>
      <c r="J76" s="5"/>
      <c r="K76" s="5"/>
      <c r="L76" s="5"/>
      <c r="M76" s="5"/>
      <c r="N76" s="5"/>
      <c r="O76" s="5"/>
      <c r="P76" s="5"/>
      <c r="R76" s="5" t="s">
        <v>1839</v>
      </c>
    </row>
    <row r="77" spans="1:18" ht="30" x14ac:dyDescent="0.25">
      <c r="A77" s="5" t="str">
        <f>"SUR"&amp;TEXT(Table85[[#This Row],[Count]],"000")&amp;"."&amp;IF(Table85[[#This Row],[Category]]="Essential","E",IF(Table85[[#This Row],[Category]]="Discretionary","D","O"))</f>
        <v>SUR064.D</v>
      </c>
      <c r="B77" s="5">
        <f>MAX(Table84[Count])+ROWS(INDEX(Table85[Count],1):Table85[[#This Row],[Count]])</f>
        <v>64</v>
      </c>
      <c r="C77" s="5" t="s">
        <v>94</v>
      </c>
      <c r="D77" s="5" t="s">
        <v>1843</v>
      </c>
      <c r="E77" s="5" t="s">
        <v>18</v>
      </c>
      <c r="F77" s="5"/>
      <c r="G77" s="5"/>
      <c r="H77" s="5"/>
      <c r="I77" s="5"/>
      <c r="J77" s="5"/>
      <c r="K77" s="5"/>
      <c r="L77" s="5"/>
      <c r="M77" s="5"/>
      <c r="N77" s="5"/>
      <c r="O77" s="5"/>
      <c r="P77" s="5"/>
    </row>
    <row r="78" spans="1:18" ht="30" x14ac:dyDescent="0.25">
      <c r="A78" s="5" t="str">
        <f>"SUR"&amp;TEXT(Table85[[#This Row],[Count]],"000")&amp;"."&amp;IF(Table85[[#This Row],[Category]]="Essential","E",IF(Table85[[#This Row],[Category]]="Discretionary","D","O"))</f>
        <v>SUR065.D</v>
      </c>
      <c r="B78" s="5">
        <f>MAX(Table84[Count])+ROWS(INDEX(Table85[Count],1):Table85[[#This Row],[Count]])</f>
        <v>65</v>
      </c>
      <c r="C78" s="5" t="s">
        <v>94</v>
      </c>
      <c r="D78" s="5" t="s">
        <v>1844</v>
      </c>
      <c r="E78" s="5" t="s">
        <v>18</v>
      </c>
      <c r="F78" s="5"/>
      <c r="G78" s="5"/>
      <c r="H78" s="5"/>
      <c r="I78" s="5"/>
      <c r="J78" s="5"/>
      <c r="K78" s="5"/>
      <c r="L78" s="5"/>
      <c r="M78" s="5"/>
      <c r="N78" s="5"/>
      <c r="O78" s="5"/>
      <c r="P78" s="5"/>
    </row>
    <row r="79" spans="1:18" ht="30" x14ac:dyDescent="0.25">
      <c r="A79" s="5" t="str">
        <f>"SUR"&amp;TEXT(Table85[[#This Row],[Count]],"000")&amp;"."&amp;IF(Table85[[#This Row],[Category]]="Essential","E",IF(Table85[[#This Row],[Category]]="Discretionary","D","O"))</f>
        <v>SUR066.D</v>
      </c>
      <c r="B79" s="5">
        <f>MAX(Table84[Count])+ROWS(INDEX(Table85[Count],1):Table85[[#This Row],[Count]])</f>
        <v>66</v>
      </c>
      <c r="C79" s="5" t="s">
        <v>94</v>
      </c>
      <c r="D79" s="5" t="s">
        <v>1845</v>
      </c>
      <c r="E79" s="5" t="s">
        <v>18</v>
      </c>
      <c r="F79" s="5"/>
      <c r="G79" s="5"/>
      <c r="H79" s="5"/>
      <c r="I79" s="5"/>
      <c r="J79" s="5"/>
      <c r="K79" s="5"/>
      <c r="L79" s="5"/>
      <c r="M79" s="5"/>
      <c r="N79" s="5"/>
      <c r="O79" s="5"/>
      <c r="P79" s="5"/>
    </row>
    <row r="80" spans="1:18" ht="30" x14ac:dyDescent="0.25">
      <c r="A80" s="5" t="str">
        <f>"SUR"&amp;TEXT(Table85[[#This Row],[Count]],"000")&amp;"."&amp;IF(Table85[[#This Row],[Category]]="Essential","E",IF(Table85[[#This Row],[Category]]="Discretionary","D","O"))</f>
        <v>SUR067.D</v>
      </c>
      <c r="B80" s="5">
        <f>MAX(Table84[Count])+ROWS(INDEX(Table85[Count],1):Table85[[#This Row],[Count]])</f>
        <v>67</v>
      </c>
      <c r="C80" s="5" t="s">
        <v>94</v>
      </c>
      <c r="D80" s="5" t="s">
        <v>1846</v>
      </c>
      <c r="E80" s="5" t="s">
        <v>18</v>
      </c>
      <c r="F80" s="5" t="s">
        <v>127</v>
      </c>
      <c r="G80" s="5"/>
      <c r="H80" s="5"/>
      <c r="I80" s="5"/>
      <c r="J80" s="5"/>
      <c r="K80" s="5"/>
      <c r="L80" s="5"/>
      <c r="M80" s="5"/>
      <c r="N80" s="5"/>
      <c r="O80" s="5"/>
      <c r="P80" s="5"/>
      <c r="R80" s="5" t="s">
        <v>1847</v>
      </c>
    </row>
    <row r="81" spans="1:18" x14ac:dyDescent="0.25">
      <c r="A81" s="5" t="str">
        <f>"SUR"&amp;TEXT(Table85[[#This Row],[Count]],"000")&amp;"."&amp;IF(Table85[[#This Row],[Category]]="Essential","E",IF(Table85[[#This Row],[Category]]="Discretionary","D","O"))</f>
        <v>SUR068.D</v>
      </c>
      <c r="B81" s="5">
        <f>MAX(Table84[Count])+ROWS(INDEX(Table85[Count],1):Table85[[#This Row],[Count]])</f>
        <v>68</v>
      </c>
      <c r="C81" s="5" t="s">
        <v>94</v>
      </c>
      <c r="D81" s="5" t="s">
        <v>1848</v>
      </c>
      <c r="E81" s="5" t="s">
        <v>18</v>
      </c>
      <c r="F81" s="5" t="s">
        <v>127</v>
      </c>
      <c r="G81" s="5"/>
      <c r="H81" s="5"/>
      <c r="I81" s="5"/>
      <c r="J81" s="5"/>
      <c r="K81" s="5"/>
      <c r="L81" s="5"/>
      <c r="M81" s="5"/>
      <c r="N81" s="5"/>
      <c r="O81" s="5"/>
      <c r="P81" s="5"/>
      <c r="R81" s="5" t="s">
        <v>1849</v>
      </c>
    </row>
    <row r="82" spans="1:18" ht="30" x14ac:dyDescent="0.25">
      <c r="A82" s="5" t="str">
        <f>"SUR"&amp;TEXT(Table85[[#This Row],[Count]],"000")&amp;"."&amp;IF(Table85[[#This Row],[Category]]="Essential","E",IF(Table85[[#This Row],[Category]]="Discretionary","D","O"))</f>
        <v>SUR069.D</v>
      </c>
      <c r="B82" s="5">
        <f>MAX(Table84[Count])+ROWS(INDEX(Table85[Count],1):Table85[[#This Row],[Count]])</f>
        <v>69</v>
      </c>
      <c r="C82" s="5" t="s">
        <v>94</v>
      </c>
      <c r="D82" s="5" t="s">
        <v>1773</v>
      </c>
      <c r="E82" s="5" t="s">
        <v>18</v>
      </c>
      <c r="F82" s="5"/>
      <c r="G82" s="5" t="s">
        <v>127</v>
      </c>
      <c r="H82" s="5" t="s">
        <v>127</v>
      </c>
      <c r="I82" s="5" t="s">
        <v>127</v>
      </c>
      <c r="J82" s="5"/>
      <c r="K82" s="5"/>
      <c r="L82" s="5"/>
      <c r="M82" s="5"/>
      <c r="N82" s="5"/>
      <c r="O82" s="5"/>
      <c r="P82" s="5"/>
      <c r="R82" s="5" t="s">
        <v>1850</v>
      </c>
    </row>
    <row r="83" spans="1:18" ht="30" x14ac:dyDescent="0.25">
      <c r="A83" s="5" t="str">
        <f>"SUR"&amp;TEXT(Table85[[#This Row],[Count]],"000")&amp;"."&amp;IF(Table85[[#This Row],[Category]]="Essential","E",IF(Table85[[#This Row],[Category]]="Discretionary","D","O"))</f>
        <v>SUR070.D</v>
      </c>
      <c r="B83" s="5">
        <f>MAX(Table84[Count])+ROWS(INDEX(Table85[Count],1):Table85[[#This Row],[Count]])</f>
        <v>70</v>
      </c>
      <c r="C83" s="5" t="s">
        <v>94</v>
      </c>
      <c r="D83" s="5" t="s">
        <v>1851</v>
      </c>
      <c r="E83" s="5" t="s">
        <v>18</v>
      </c>
      <c r="F83" s="5" t="s">
        <v>127</v>
      </c>
      <c r="G83" s="5"/>
      <c r="H83" s="5"/>
      <c r="I83" s="5"/>
      <c r="J83" s="5"/>
      <c r="K83" s="5"/>
      <c r="L83" s="5"/>
      <c r="M83" s="5"/>
      <c r="N83" s="5"/>
      <c r="O83" s="5"/>
      <c r="P83" s="5"/>
      <c r="R83" s="5" t="s">
        <v>1852</v>
      </c>
    </row>
    <row r="84" spans="1:18" ht="30" x14ac:dyDescent="0.25">
      <c r="A84" s="5" t="str">
        <f>"SUR"&amp;TEXT(Table85[[#This Row],[Count]],"000")&amp;"."&amp;IF(Table85[[#This Row],[Category]]="Essential","E",IF(Table85[[#This Row],[Category]]="Discretionary","D","O"))</f>
        <v>SUR071.D</v>
      </c>
      <c r="B84" s="5">
        <f>MAX(Table84[Count])+ROWS(INDEX(Table85[Count],1):Table85[[#This Row],[Count]])</f>
        <v>71</v>
      </c>
      <c r="C84" s="5" t="s">
        <v>94</v>
      </c>
      <c r="D84" s="5" t="s">
        <v>1853</v>
      </c>
      <c r="E84" s="5" t="s">
        <v>18</v>
      </c>
      <c r="F84" s="5" t="s">
        <v>127</v>
      </c>
      <c r="G84" s="5"/>
      <c r="H84" s="5"/>
      <c r="I84" s="5"/>
      <c r="J84" s="5"/>
      <c r="K84" s="5"/>
      <c r="L84" s="5" t="s">
        <v>127</v>
      </c>
      <c r="M84" s="5" t="s">
        <v>127</v>
      </c>
      <c r="N84" s="5" t="s">
        <v>127</v>
      </c>
      <c r="O84" s="5" t="s">
        <v>127</v>
      </c>
      <c r="P84" s="5"/>
    </row>
    <row r="85" spans="1:18" x14ac:dyDescent="0.25">
      <c r="A85" s="5" t="str">
        <f>"SUR"&amp;TEXT(Table85[[#This Row],[Count]],"000")&amp;"."&amp;IF(Table85[[#This Row],[Category]]="Essential","E",IF(Table85[[#This Row],[Category]]="Discretionary","D","O"))</f>
        <v>SUR072.D</v>
      </c>
      <c r="B85" s="5">
        <f>MAX(Table84[Count])+ROWS(INDEX(Table85[Count],1):Table85[[#This Row],[Count]])</f>
        <v>72</v>
      </c>
      <c r="C85" s="5" t="s">
        <v>94</v>
      </c>
      <c r="D85" s="5" t="s">
        <v>1854</v>
      </c>
      <c r="E85" s="5" t="s">
        <v>18</v>
      </c>
      <c r="F85" s="5" t="s">
        <v>127</v>
      </c>
      <c r="G85" s="5"/>
      <c r="H85" s="5"/>
      <c r="I85" s="5"/>
      <c r="J85" s="5"/>
      <c r="K85" s="5"/>
      <c r="L85" s="5" t="s">
        <v>127</v>
      </c>
      <c r="M85" s="5" t="s">
        <v>127</v>
      </c>
      <c r="N85" s="5" t="s">
        <v>127</v>
      </c>
      <c r="O85" s="5" t="s">
        <v>127</v>
      </c>
      <c r="P85" s="5"/>
    </row>
    <row r="86" spans="1:18" x14ac:dyDescent="0.25">
      <c r="A86" s="5" t="str">
        <f>"SUR"&amp;TEXT(Table85[[#This Row],[Count]],"000")&amp;"."&amp;IF(Table85[[#This Row],[Category]]="Essential","E",IF(Table85[[#This Row],[Category]]="Discretionary","D","O"))</f>
        <v>SUR073.D</v>
      </c>
      <c r="B86" s="5">
        <f>MAX(Table84[Count])+ROWS(INDEX(Table85[Count],1):Table85[[#This Row],[Count]])</f>
        <v>73</v>
      </c>
      <c r="C86" s="5" t="s">
        <v>94</v>
      </c>
      <c r="D86" s="5" t="s">
        <v>1855</v>
      </c>
      <c r="E86" s="5" t="s">
        <v>18</v>
      </c>
      <c r="F86" s="5" t="s">
        <v>127</v>
      </c>
      <c r="G86" s="5"/>
      <c r="H86" s="5"/>
      <c r="I86" s="5"/>
      <c r="J86" s="5"/>
      <c r="K86" s="5"/>
      <c r="L86" s="5"/>
      <c r="M86" s="5"/>
      <c r="N86" s="5"/>
      <c r="O86" s="5"/>
      <c r="P86" s="5"/>
      <c r="R86" s="5" t="s">
        <v>1856</v>
      </c>
    </row>
    <row r="87" spans="1:18" ht="30" x14ac:dyDescent="0.25">
      <c r="A87" s="5" t="str">
        <f>"SUR"&amp;TEXT(Table85[[#This Row],[Count]],"000")&amp;"."&amp;IF(Table85[[#This Row],[Category]]="Essential","E",IF(Table85[[#This Row],[Category]]="Discretionary","D","O"))</f>
        <v>SUR074.D</v>
      </c>
      <c r="B87" s="5">
        <f>MAX(Table84[Count])+ROWS(INDEX(Table85[Count],1):Table85[[#This Row],[Count]])</f>
        <v>74</v>
      </c>
      <c r="C87" s="5" t="s">
        <v>94</v>
      </c>
      <c r="D87" s="5" t="s">
        <v>1857</v>
      </c>
      <c r="E87" s="5" t="s">
        <v>18</v>
      </c>
      <c r="F87" s="5" t="s">
        <v>127</v>
      </c>
      <c r="G87" s="5"/>
      <c r="H87" s="5"/>
      <c r="I87" s="5"/>
      <c r="J87" s="5"/>
      <c r="K87" s="5"/>
      <c r="L87" s="5"/>
      <c r="M87" s="5"/>
      <c r="N87" s="5"/>
      <c r="O87" s="5"/>
      <c r="P87" s="5"/>
      <c r="R87" s="5" t="s">
        <v>1847</v>
      </c>
    </row>
    <row r="88" spans="1:18" ht="30" x14ac:dyDescent="0.25">
      <c r="A88" s="5" t="str">
        <f>"SUR"&amp;TEXT(Table85[[#This Row],[Count]],"000")&amp;"."&amp;IF(Table85[[#This Row],[Category]]="Essential","E",IF(Table85[[#This Row],[Category]]="Discretionary","D","O"))</f>
        <v>SUR075.D</v>
      </c>
      <c r="B88" s="5">
        <f>MAX(Table84[Count])+ROWS(INDEX(Table85[Count],1):Table85[[#This Row],[Count]])</f>
        <v>75</v>
      </c>
      <c r="C88" s="5" t="s">
        <v>94</v>
      </c>
      <c r="D88" s="5" t="s">
        <v>1858</v>
      </c>
      <c r="E88" s="5" t="s">
        <v>18</v>
      </c>
      <c r="F88" s="5" t="s">
        <v>127</v>
      </c>
      <c r="G88" s="5"/>
      <c r="H88" s="5"/>
      <c r="I88" s="5"/>
      <c r="J88" s="5"/>
      <c r="K88" s="5"/>
      <c r="L88" s="5"/>
      <c r="M88" s="5"/>
      <c r="N88" s="5"/>
      <c r="O88" s="5"/>
      <c r="P88" s="5"/>
      <c r="R88" s="5" t="s">
        <v>1847</v>
      </c>
    </row>
    <row r="89" spans="1:18" ht="30" x14ac:dyDescent="0.25">
      <c r="A89" s="5" t="str">
        <f>"SUR"&amp;TEXT(Table85[[#This Row],[Count]],"000")&amp;"."&amp;IF(Table85[[#This Row],[Category]]="Essential","E",IF(Table85[[#This Row],[Category]]="Discretionary","D","O"))</f>
        <v>SUR076.D</v>
      </c>
      <c r="B89" s="5">
        <f>MAX(Table84[Count])+ROWS(INDEX(Table85[Count],1):Table85[[#This Row],[Count]])</f>
        <v>76</v>
      </c>
      <c r="C89" s="5" t="s">
        <v>94</v>
      </c>
      <c r="D89" s="5" t="s">
        <v>1859</v>
      </c>
      <c r="E89" s="5" t="s">
        <v>18</v>
      </c>
      <c r="F89" s="5" t="s">
        <v>127</v>
      </c>
      <c r="G89" s="5"/>
      <c r="H89" s="5"/>
      <c r="I89" s="5"/>
      <c r="J89" s="5"/>
      <c r="K89" s="5"/>
      <c r="L89" s="5"/>
      <c r="M89" s="5"/>
      <c r="N89" s="5"/>
      <c r="O89" s="5"/>
      <c r="P89" s="5"/>
      <c r="R89" s="5" t="s">
        <v>1860</v>
      </c>
    </row>
    <row r="90" spans="1:18" ht="30" x14ac:dyDescent="0.25">
      <c r="A90" s="5" t="str">
        <f>"SUR"&amp;TEXT(Table85[[#This Row],[Count]],"000")&amp;"."&amp;IF(Table85[[#This Row],[Category]]="Essential","E",IF(Table85[[#This Row],[Category]]="Discretionary","D","O"))</f>
        <v>SUR077.D</v>
      </c>
      <c r="B90" s="5">
        <f>MAX(Table84[Count])+ROWS(INDEX(Table85[Count],1):Table85[[#This Row],[Count]])</f>
        <v>77</v>
      </c>
      <c r="C90" s="5" t="s">
        <v>94</v>
      </c>
      <c r="D90" s="5" t="s">
        <v>1861</v>
      </c>
      <c r="E90" s="5" t="s">
        <v>18</v>
      </c>
      <c r="F90" s="5" t="s">
        <v>127</v>
      </c>
      <c r="G90" s="5"/>
      <c r="H90" s="5"/>
      <c r="I90" s="5"/>
      <c r="J90" s="5"/>
      <c r="K90" s="5"/>
      <c r="L90" s="5"/>
      <c r="M90" s="5"/>
      <c r="N90" s="5"/>
      <c r="O90" s="5"/>
      <c r="P90" s="5"/>
      <c r="R90" s="5" t="s">
        <v>1860</v>
      </c>
    </row>
    <row r="91" spans="1:18" ht="30" x14ac:dyDescent="0.25">
      <c r="A91" s="5" t="str">
        <f>"SUR"&amp;TEXT(Table85[[#This Row],[Count]],"000")&amp;"."&amp;IF(Table85[[#This Row],[Category]]="Essential","E",IF(Table85[[#This Row],[Category]]="Discretionary","D","O"))</f>
        <v>SUR078.D</v>
      </c>
      <c r="B91" s="5">
        <f>MAX(Table84[Count])+ROWS(INDEX(Table85[Count],1):Table85[[#This Row],[Count]])</f>
        <v>78</v>
      </c>
      <c r="C91" s="5" t="s">
        <v>94</v>
      </c>
      <c r="D91" s="5" t="s">
        <v>1821</v>
      </c>
      <c r="E91" s="5" t="s">
        <v>18</v>
      </c>
      <c r="F91" s="5" t="s">
        <v>127</v>
      </c>
      <c r="G91" s="5"/>
      <c r="H91" s="5"/>
      <c r="I91" s="5"/>
      <c r="J91" s="5"/>
      <c r="K91" s="5"/>
      <c r="L91" s="5"/>
      <c r="M91" s="5"/>
      <c r="N91" s="5"/>
      <c r="O91" s="5"/>
      <c r="P91" s="5"/>
      <c r="R91" s="5" t="s">
        <v>1860</v>
      </c>
    </row>
    <row r="92" spans="1:18" ht="30" x14ac:dyDescent="0.25">
      <c r="A92" s="5" t="str">
        <f>"SUR"&amp;TEXT(Table85[[#This Row],[Count]],"000")&amp;"."&amp;IF(Table85[[#This Row],[Category]]="Essential","E",IF(Table85[[#This Row],[Category]]="Discretionary","D","O"))</f>
        <v>SUR079.D</v>
      </c>
      <c r="B92" s="5">
        <f>MAX(Table84[Count])+ROWS(INDEX(Table85[Count],1):Table85[[#This Row],[Count]])</f>
        <v>79</v>
      </c>
      <c r="C92" s="5" t="s">
        <v>94</v>
      </c>
      <c r="D92" s="5" t="s">
        <v>1862</v>
      </c>
      <c r="E92" s="5" t="s">
        <v>18</v>
      </c>
      <c r="F92" s="5" t="s">
        <v>127</v>
      </c>
      <c r="G92" s="5"/>
      <c r="H92" s="5"/>
      <c r="I92" s="5"/>
      <c r="J92" s="5"/>
      <c r="K92" s="5"/>
      <c r="L92" s="5"/>
      <c r="M92" s="5"/>
      <c r="N92" s="5"/>
      <c r="O92" s="5"/>
      <c r="P92" s="5"/>
      <c r="R92" s="5" t="s">
        <v>1860</v>
      </c>
    </row>
    <row r="93" spans="1:18" x14ac:dyDescent="0.25">
      <c r="A93" s="5" t="str">
        <f>"SUR"&amp;TEXT(Table85[[#This Row],[Count]],"000")&amp;"."&amp;IF(Table85[[#This Row],[Category]]="Essential","E",IF(Table85[[#This Row],[Category]]="Discretionary","D","O"))</f>
        <v>SUR080.D</v>
      </c>
      <c r="B93" s="5">
        <f>MAX(Table84[Count])+ROWS(INDEX(Table85[Count],1):Table85[[#This Row],[Count]])</f>
        <v>80</v>
      </c>
      <c r="C93" s="5" t="s">
        <v>94</v>
      </c>
      <c r="D93" s="5" t="s">
        <v>1825</v>
      </c>
      <c r="E93" s="5" t="s">
        <v>18</v>
      </c>
      <c r="F93" s="5" t="s">
        <v>127</v>
      </c>
      <c r="G93" s="5"/>
      <c r="H93" s="5"/>
      <c r="I93" s="5"/>
      <c r="J93" s="5"/>
      <c r="K93" s="5"/>
      <c r="L93" s="5"/>
      <c r="M93" s="5"/>
      <c r="N93" s="5"/>
      <c r="O93" s="5"/>
      <c r="P93" s="5"/>
    </row>
    <row r="94" spans="1:18" ht="30" x14ac:dyDescent="0.25">
      <c r="A94" s="5" t="str">
        <f>"SUR"&amp;TEXT(Table85[[#This Row],[Count]],"000")&amp;"."&amp;IF(Table85[[#This Row],[Category]]="Essential","E",IF(Table85[[#This Row],[Category]]="Discretionary","D","O"))</f>
        <v>SUR081.D</v>
      </c>
      <c r="B94" s="5">
        <f>MAX(Table84[Count])+ROWS(INDEX(Table85[Count],1):Table85[[#This Row],[Count]])</f>
        <v>81</v>
      </c>
      <c r="C94" s="5" t="s">
        <v>94</v>
      </c>
      <c r="D94" s="5" t="s">
        <v>1863</v>
      </c>
      <c r="E94" s="5" t="s">
        <v>18</v>
      </c>
      <c r="F94" s="5" t="s">
        <v>127</v>
      </c>
      <c r="G94" s="5"/>
      <c r="H94" s="5"/>
      <c r="I94" s="5"/>
      <c r="J94" s="5"/>
      <c r="K94" s="5"/>
      <c r="L94" s="5"/>
      <c r="M94" s="5"/>
      <c r="N94" s="5"/>
      <c r="O94" s="5"/>
      <c r="P94" s="5"/>
      <c r="R94" s="5" t="s">
        <v>1860</v>
      </c>
    </row>
    <row r="95" spans="1:18" x14ac:dyDescent="0.25">
      <c r="A95" s="5" t="str">
        <f>"SUR"&amp;TEXT(Table85[[#This Row],[Count]],"000")&amp;"."&amp;IF(Table85[[#This Row],[Category]]="Essential","E",IF(Table85[[#This Row],[Category]]="Discretionary","D","O"))</f>
        <v>SUR082.O</v>
      </c>
      <c r="B95" s="5">
        <f>MAX(Table84[Count])+ROWS(INDEX(Table85[Count],1):Table85[[#This Row],[Count]])</f>
        <v>82</v>
      </c>
      <c r="C95" s="5" t="s">
        <v>94</v>
      </c>
      <c r="D95" s="5" t="s">
        <v>1864</v>
      </c>
      <c r="E95" s="5" t="s">
        <v>23</v>
      </c>
      <c r="F95" s="5"/>
      <c r="G95" s="5"/>
      <c r="H95" s="5"/>
      <c r="I95" s="5"/>
      <c r="J95" s="5"/>
      <c r="K95" s="5"/>
      <c r="L95" s="5"/>
      <c r="M95" s="5"/>
      <c r="N95" s="5"/>
      <c r="O95" s="5"/>
      <c r="P95" s="5"/>
      <c r="R95" s="5" t="s">
        <v>1162</v>
      </c>
    </row>
    <row r="96" spans="1:18" x14ac:dyDescent="0.25">
      <c r="A96" s="5" t="str">
        <f>"SUR"&amp;TEXT(Table85[[#This Row],[Count]],"000")&amp;"."&amp;IF(Table85[[#This Row],[Category]]="Essential","E",IF(Table85[[#This Row],[Category]]="Discretionary","D","O"))</f>
        <v>SUR083.D</v>
      </c>
      <c r="B96" s="5">
        <f>MAX(Table84[Count])+ROWS(INDEX(Table85[Count],1):Table85[[#This Row],[Count]])</f>
        <v>83</v>
      </c>
      <c r="C96" s="5" t="s">
        <v>94</v>
      </c>
      <c r="D96" s="5" t="s">
        <v>1865</v>
      </c>
      <c r="E96" s="5" t="s">
        <v>18</v>
      </c>
      <c r="F96" s="5"/>
      <c r="G96" s="5"/>
      <c r="H96" s="5"/>
      <c r="I96" s="5"/>
      <c r="J96" s="5"/>
      <c r="K96" s="5"/>
      <c r="L96" s="5"/>
      <c r="M96" s="5"/>
      <c r="N96" s="5"/>
      <c r="O96" s="5"/>
      <c r="P96" s="5"/>
    </row>
    <row r="97" spans="1:18" ht="60" x14ac:dyDescent="0.25">
      <c r="A97" s="5" t="str">
        <f>"SUR"&amp;TEXT(Table85[[#This Row],[Count]],"000")&amp;"."&amp;IF(Table85[[#This Row],[Category]]="Essential","E",IF(Table85[[#This Row],[Category]]="Discretionary","D","O"))</f>
        <v>SUR084.O</v>
      </c>
      <c r="B97" s="5">
        <f>MAX(Table84[Count])+ROWS(INDEX(Table85[Count],1):Table85[[#This Row],[Count]])</f>
        <v>84</v>
      </c>
      <c r="C97" s="5" t="s">
        <v>94</v>
      </c>
      <c r="D97" s="5" t="s">
        <v>1866</v>
      </c>
      <c r="E97" s="5" t="s">
        <v>23</v>
      </c>
      <c r="F97" s="5"/>
      <c r="G97" s="5"/>
      <c r="H97" s="5"/>
      <c r="I97" s="5"/>
      <c r="J97" s="5"/>
      <c r="K97" s="5"/>
      <c r="L97" s="5"/>
      <c r="M97" s="5"/>
      <c r="N97" s="5"/>
      <c r="O97" s="5"/>
      <c r="P97" s="5"/>
      <c r="R97" s="5" t="s">
        <v>1867</v>
      </c>
    </row>
    <row r="98" spans="1:18" x14ac:dyDescent="0.25">
      <c r="A98" s="5"/>
      <c r="B98" s="5"/>
      <c r="E98" s="5"/>
      <c r="F98" s="5"/>
      <c r="G98" s="5"/>
      <c r="H98" s="5"/>
      <c r="I98" s="5"/>
      <c r="J98" s="5"/>
      <c r="K98" s="5"/>
      <c r="L98" s="5"/>
      <c r="M98" s="5"/>
      <c r="N98" s="5"/>
      <c r="O98" s="5"/>
      <c r="P98" s="5"/>
    </row>
    <row r="99" spans="1:18" x14ac:dyDescent="0.25">
      <c r="A99" s="58" t="s">
        <v>97</v>
      </c>
      <c r="B99" s="58"/>
      <c r="C99" s="58"/>
      <c r="D99" s="58"/>
      <c r="E99" s="58"/>
      <c r="F99" s="58"/>
      <c r="G99" s="58"/>
      <c r="H99" s="58"/>
      <c r="I99" s="58"/>
      <c r="J99" s="58"/>
      <c r="K99" s="58"/>
      <c r="L99" s="58"/>
      <c r="M99" s="58"/>
      <c r="N99" s="58"/>
      <c r="O99" s="58"/>
      <c r="P99" s="58"/>
      <c r="Q99" s="58"/>
      <c r="R99" s="58"/>
    </row>
    <row r="101" spans="1:18" x14ac:dyDescent="0.25">
      <c r="A101" s="6" t="s">
        <v>120</v>
      </c>
      <c r="B101" s="6" t="s">
        <v>121</v>
      </c>
      <c r="C101" s="7" t="s">
        <v>122</v>
      </c>
      <c r="D101" s="7" t="s">
        <v>123</v>
      </c>
      <c r="E101" s="6" t="s">
        <v>8</v>
      </c>
      <c r="F101" s="6" t="s">
        <v>124</v>
      </c>
      <c r="G101" s="6" t="s">
        <v>154</v>
      </c>
      <c r="H101" s="6" t="s">
        <v>155</v>
      </c>
      <c r="I101" s="6" t="s">
        <v>156</v>
      </c>
      <c r="J101" s="6" t="s">
        <v>157</v>
      </c>
      <c r="K101" s="6" t="s">
        <v>158</v>
      </c>
      <c r="L101" s="6" t="s">
        <v>159</v>
      </c>
      <c r="M101" s="6" t="s">
        <v>160</v>
      </c>
      <c r="N101" s="6" t="s">
        <v>161</v>
      </c>
      <c r="O101" s="6" t="s">
        <v>162</v>
      </c>
      <c r="P101" s="6" t="s">
        <v>163</v>
      </c>
      <c r="Q101" s="6" t="s">
        <v>164</v>
      </c>
      <c r="R101" s="7" t="s">
        <v>125</v>
      </c>
    </row>
    <row r="102" spans="1:18" ht="60" x14ac:dyDescent="0.25">
      <c r="A102" s="5" t="str">
        <f>"SUR"&amp;TEXT(Table86[[#This Row],[Count]],"000")&amp;"."&amp;IF(Table86[[#This Row],[Category]]="Essential","E",IF(Table86[[#This Row],[Category]]="Discretionary","D","O"))</f>
        <v>SUR085.D</v>
      </c>
      <c r="B102" s="5">
        <f>MAX(Table85[Count])+ROWS(INDEX(Table86[Count],1):Table86[[#This Row],[Count]])</f>
        <v>85</v>
      </c>
      <c r="C102" s="5" t="s">
        <v>97</v>
      </c>
      <c r="D102" s="5" t="s">
        <v>1868</v>
      </c>
      <c r="E102" s="5" t="s">
        <v>18</v>
      </c>
      <c r="F102" s="5"/>
      <c r="G102" s="5"/>
      <c r="H102" s="5"/>
      <c r="I102" s="5"/>
      <c r="J102" s="5"/>
      <c r="K102" s="5"/>
      <c r="L102" s="5"/>
      <c r="M102" s="5"/>
      <c r="N102" s="5"/>
      <c r="O102" s="5"/>
      <c r="P102" s="5"/>
    </row>
    <row r="103" spans="1:18" ht="30" x14ac:dyDescent="0.25">
      <c r="A103" s="5" t="str">
        <f>"SUR"&amp;TEXT(Table86[[#This Row],[Count]],"000")&amp;"."&amp;IF(Table86[[#This Row],[Category]]="Essential","E",IF(Table86[[#This Row],[Category]]="Discretionary","D","O"))</f>
        <v>SUR086.D</v>
      </c>
      <c r="B103" s="5">
        <f>MAX(Table85[Count])+ROWS(INDEX(Table86[Count],1):Table86[[#This Row],[Count]])</f>
        <v>86</v>
      </c>
      <c r="C103" s="5" t="s">
        <v>97</v>
      </c>
      <c r="D103" s="5" t="s">
        <v>1767</v>
      </c>
      <c r="E103" s="5" t="s">
        <v>18</v>
      </c>
      <c r="F103" s="5"/>
      <c r="G103" s="5"/>
      <c r="H103" s="5"/>
      <c r="I103" s="5"/>
      <c r="J103" s="5" t="s">
        <v>127</v>
      </c>
      <c r="K103" s="5" t="s">
        <v>127</v>
      </c>
      <c r="L103" s="5"/>
      <c r="M103" s="5"/>
      <c r="N103" s="5"/>
      <c r="O103" s="5"/>
      <c r="P103" s="5"/>
      <c r="Q103" s="5" t="s">
        <v>127</v>
      </c>
      <c r="R103" s="5" t="s">
        <v>1791</v>
      </c>
    </row>
    <row r="104" spans="1:18" x14ac:dyDescent="0.25">
      <c r="A104" s="5" t="str">
        <f>"SUR"&amp;TEXT(Table86[[#This Row],[Count]],"000")&amp;"."&amp;IF(Table86[[#This Row],[Category]]="Essential","E",IF(Table86[[#This Row],[Category]]="Discretionary","D","O"))</f>
        <v>SUR087.D</v>
      </c>
      <c r="B104" s="5">
        <f>MAX(Table85[Count])+ROWS(INDEX(Table86[Count],1):Table86[[#This Row],[Count]])</f>
        <v>87</v>
      </c>
      <c r="C104" s="5" t="s">
        <v>97</v>
      </c>
      <c r="D104" s="5" t="s">
        <v>436</v>
      </c>
      <c r="E104" s="5" t="s">
        <v>18</v>
      </c>
      <c r="F104" s="5"/>
      <c r="G104" s="5"/>
      <c r="H104" s="5"/>
      <c r="I104" s="5"/>
      <c r="J104" s="5" t="s">
        <v>127</v>
      </c>
      <c r="K104" s="5" t="s">
        <v>127</v>
      </c>
      <c r="L104" s="5"/>
      <c r="M104" s="5"/>
      <c r="N104" s="5"/>
      <c r="O104" s="5"/>
      <c r="P104" s="5"/>
    </row>
    <row r="105" spans="1:18" ht="45" x14ac:dyDescent="0.25">
      <c r="A105" s="5" t="str">
        <f>"SUR"&amp;TEXT(Table86[[#This Row],[Count]],"000")&amp;"."&amp;IF(Table86[[#This Row],[Category]]="Essential","E",IF(Table86[[#This Row],[Category]]="Discretionary","D","O"))</f>
        <v>SUR088.D</v>
      </c>
      <c r="B105" s="5">
        <f>MAX(Table85[Count])+ROWS(INDEX(Table86[Count],1):Table86[[#This Row],[Count]])</f>
        <v>88</v>
      </c>
      <c r="C105" s="5" t="s">
        <v>97</v>
      </c>
      <c r="D105" s="5" t="s">
        <v>1869</v>
      </c>
      <c r="E105" s="5" t="s">
        <v>18</v>
      </c>
      <c r="F105" s="5"/>
      <c r="G105" s="5"/>
      <c r="H105" s="5"/>
      <c r="I105" s="5"/>
      <c r="J105" s="5"/>
      <c r="K105" s="5"/>
      <c r="L105" s="5"/>
      <c r="M105" s="5"/>
      <c r="N105" s="5"/>
      <c r="O105" s="5"/>
      <c r="P105" s="5"/>
      <c r="R105" s="5" t="s">
        <v>1870</v>
      </c>
    </row>
    <row r="106" spans="1:18" ht="30" x14ac:dyDescent="0.25">
      <c r="A106" s="5" t="str">
        <f>"SUR"&amp;TEXT(Table86[[#This Row],[Count]],"000")&amp;"."&amp;IF(Table86[[#This Row],[Category]]="Essential","E",IF(Table86[[#This Row],[Category]]="Discretionary","D","O"))</f>
        <v>SUR089.D</v>
      </c>
      <c r="B106" s="5">
        <f>MAX(Table85[Count])+ROWS(INDEX(Table86[Count],1):Table86[[#This Row],[Count]])</f>
        <v>89</v>
      </c>
      <c r="C106" s="5" t="s">
        <v>97</v>
      </c>
      <c r="D106" s="5" t="s">
        <v>1773</v>
      </c>
      <c r="E106" s="5" t="s">
        <v>18</v>
      </c>
      <c r="F106" s="5"/>
      <c r="G106" s="5"/>
      <c r="H106" s="5"/>
      <c r="I106" s="5"/>
      <c r="J106" s="5" t="s">
        <v>127</v>
      </c>
      <c r="K106" s="5" t="s">
        <v>127</v>
      </c>
      <c r="L106" s="5"/>
      <c r="M106" s="5"/>
      <c r="N106" s="5"/>
      <c r="O106" s="5"/>
      <c r="P106" s="5"/>
    </row>
    <row r="107" spans="1:18" x14ac:dyDescent="0.25">
      <c r="A107" s="5" t="str">
        <f>"SUR"&amp;TEXT(Table86[[#This Row],[Count]],"000")&amp;"."&amp;IF(Table86[[#This Row],[Category]]="Essential","E",IF(Table86[[#This Row],[Category]]="Discretionary","D","O"))</f>
        <v>SUR090.O</v>
      </c>
      <c r="B107" s="5">
        <f>MAX(Table85[Count])+ROWS(INDEX(Table86[Count],1):Table86[[#This Row],[Count]])</f>
        <v>90</v>
      </c>
      <c r="C107" s="5" t="s">
        <v>97</v>
      </c>
      <c r="D107" s="5" t="s">
        <v>1871</v>
      </c>
      <c r="E107" s="5" t="s">
        <v>23</v>
      </c>
      <c r="F107" s="5"/>
      <c r="G107" s="5"/>
      <c r="H107" s="5"/>
      <c r="I107" s="5"/>
      <c r="J107" s="5"/>
      <c r="K107" s="5"/>
      <c r="L107" s="5"/>
      <c r="M107" s="5"/>
      <c r="N107" s="5"/>
      <c r="O107" s="5"/>
      <c r="P107" s="5"/>
      <c r="R107" s="5" t="s">
        <v>1162</v>
      </c>
    </row>
    <row r="108" spans="1:18" ht="45" x14ac:dyDescent="0.25">
      <c r="A108" s="5" t="str">
        <f>"SUR"&amp;TEXT(Table86[[#This Row],[Count]],"000")&amp;"."&amp;IF(Table86[[#This Row],[Category]]="Essential","E",IF(Table86[[#This Row],[Category]]="Discretionary","D","O"))</f>
        <v>SUR091.D</v>
      </c>
      <c r="B108" s="5">
        <f>MAX(Table85[Count])+ROWS(INDEX(Table86[Count],1):Table86[[#This Row],[Count]])</f>
        <v>91</v>
      </c>
      <c r="C108" s="5" t="s">
        <v>97</v>
      </c>
      <c r="D108" s="5" t="s">
        <v>1872</v>
      </c>
      <c r="E108" s="5" t="s">
        <v>18</v>
      </c>
      <c r="F108" s="5"/>
      <c r="G108" s="5"/>
      <c r="H108" s="5"/>
      <c r="I108" s="5"/>
      <c r="J108" s="5"/>
      <c r="K108" s="5"/>
      <c r="L108" s="5"/>
      <c r="M108" s="5" t="s">
        <v>127</v>
      </c>
      <c r="N108" s="5" t="s">
        <v>127</v>
      </c>
      <c r="O108" s="5" t="s">
        <v>127</v>
      </c>
      <c r="P108" s="5" t="s">
        <v>127</v>
      </c>
      <c r="Q108" s="5" t="s">
        <v>127</v>
      </c>
      <c r="R108" s="5" t="s">
        <v>1873</v>
      </c>
    </row>
    <row r="109" spans="1:18" x14ac:dyDescent="0.25">
      <c r="A109" s="5" t="str">
        <f>"SUR"&amp;TEXT(Table86[[#This Row],[Count]],"000")&amp;"."&amp;IF(Table86[[#This Row],[Category]]="Essential","E",IF(Table86[[#This Row],[Category]]="Discretionary","D","O"))</f>
        <v>SUR092.D</v>
      </c>
      <c r="B109" s="5">
        <f>MAX(Table85[Count])+ROWS(INDEX(Table86[Count],1):Table86[[#This Row],[Count]])</f>
        <v>92</v>
      </c>
      <c r="C109" s="5" t="s">
        <v>97</v>
      </c>
      <c r="D109" s="5" t="s">
        <v>1874</v>
      </c>
      <c r="E109" s="5" t="s">
        <v>18</v>
      </c>
      <c r="F109" s="5"/>
      <c r="G109" s="5"/>
      <c r="H109" s="5"/>
      <c r="I109" s="5"/>
      <c r="J109" s="5"/>
      <c r="K109" s="5"/>
      <c r="L109" s="5"/>
      <c r="M109" s="5"/>
      <c r="N109" s="5"/>
      <c r="O109" s="5"/>
      <c r="P109" s="5"/>
    </row>
    <row r="110" spans="1:18" ht="30" x14ac:dyDescent="0.25">
      <c r="A110" s="5" t="str">
        <f>"SUR"&amp;TEXT(Table86[[#This Row],[Count]],"000")&amp;"."&amp;IF(Table86[[#This Row],[Category]]="Essential","E",IF(Table86[[#This Row],[Category]]="Discretionary","D","O"))</f>
        <v>SUR093.O</v>
      </c>
      <c r="B110" s="5">
        <f>MAX(Table85[Count])+ROWS(INDEX(Table86[Count],1):Table86[[#This Row],[Count]])</f>
        <v>93</v>
      </c>
      <c r="C110" s="5" t="s">
        <v>97</v>
      </c>
      <c r="D110" s="5" t="s">
        <v>1875</v>
      </c>
      <c r="E110" s="5" t="s">
        <v>23</v>
      </c>
      <c r="F110" s="5"/>
      <c r="G110" s="5"/>
      <c r="H110" s="5"/>
      <c r="I110" s="5"/>
      <c r="J110" s="5" t="s">
        <v>127</v>
      </c>
      <c r="K110" s="5"/>
      <c r="L110" s="5" t="s">
        <v>127</v>
      </c>
      <c r="M110" s="5"/>
      <c r="N110" s="5"/>
      <c r="O110" s="5"/>
      <c r="P110" s="5" t="s">
        <v>127</v>
      </c>
      <c r="Q110" s="5" t="s">
        <v>127</v>
      </c>
      <c r="R110" s="5" t="s">
        <v>1162</v>
      </c>
    </row>
    <row r="111" spans="1:18" ht="30" x14ac:dyDescent="0.25">
      <c r="A111" s="5" t="str">
        <f>"SUR"&amp;TEXT(Table86[[#This Row],[Count]],"000")&amp;"."&amp;IF(Table86[[#This Row],[Category]]="Essential","E",IF(Table86[[#This Row],[Category]]="Discretionary","D","O"))</f>
        <v>SUR094.D</v>
      </c>
      <c r="B111" s="5">
        <f>MAX(Table85[Count])+ROWS(INDEX(Table86[Count],1):Table86[[#This Row],[Count]])</f>
        <v>94</v>
      </c>
      <c r="C111" s="5" t="s">
        <v>97</v>
      </c>
      <c r="D111" s="5" t="s">
        <v>1876</v>
      </c>
      <c r="E111" s="5" t="s">
        <v>18</v>
      </c>
      <c r="F111" s="5"/>
      <c r="G111" s="5"/>
      <c r="H111" s="5"/>
      <c r="I111" s="5"/>
      <c r="J111" s="5"/>
      <c r="K111" s="5"/>
      <c r="L111" s="5"/>
      <c r="M111" s="5"/>
      <c r="N111" s="5"/>
      <c r="O111" s="5"/>
      <c r="P111" s="5"/>
      <c r="R111" s="5" t="s">
        <v>1877</v>
      </c>
    </row>
    <row r="113" spans="1:18" x14ac:dyDescent="0.25">
      <c r="A113" s="58" t="s">
        <v>100</v>
      </c>
      <c r="B113" s="58"/>
      <c r="C113" s="58"/>
      <c r="D113" s="58"/>
      <c r="E113" s="58"/>
      <c r="F113" s="58"/>
      <c r="G113" s="58"/>
      <c r="H113" s="58"/>
      <c r="I113" s="58"/>
      <c r="J113" s="58"/>
      <c r="K113" s="58"/>
      <c r="L113" s="58"/>
      <c r="M113" s="58"/>
      <c r="N113" s="58"/>
      <c r="O113" s="58"/>
      <c r="P113" s="58"/>
      <c r="Q113" s="58"/>
      <c r="R113" s="58"/>
    </row>
    <row r="115" spans="1:18" x14ac:dyDescent="0.25">
      <c r="A115" s="6" t="s">
        <v>120</v>
      </c>
      <c r="B115" s="6" t="s">
        <v>121</v>
      </c>
      <c r="C115" s="7" t="s">
        <v>122</v>
      </c>
      <c r="D115" s="7" t="s">
        <v>123</v>
      </c>
      <c r="E115" s="6" t="s">
        <v>8</v>
      </c>
      <c r="F115" s="6" t="s">
        <v>124</v>
      </c>
      <c r="G115" s="6" t="s">
        <v>154</v>
      </c>
      <c r="H115" s="6" t="s">
        <v>155</v>
      </c>
      <c r="I115" s="6" t="s">
        <v>156</v>
      </c>
      <c r="J115" s="6" t="s">
        <v>157</v>
      </c>
      <c r="K115" s="6" t="s">
        <v>158</v>
      </c>
      <c r="L115" s="6" t="s">
        <v>159</v>
      </c>
      <c r="M115" s="6" t="s">
        <v>160</v>
      </c>
      <c r="N115" s="6" t="s">
        <v>161</v>
      </c>
      <c r="O115" s="6" t="s">
        <v>162</v>
      </c>
      <c r="P115" s="6" t="s">
        <v>163</v>
      </c>
      <c r="Q115" s="6" t="s">
        <v>164</v>
      </c>
      <c r="R115" s="7" t="s">
        <v>125</v>
      </c>
    </row>
    <row r="116" spans="1:18" ht="30" x14ac:dyDescent="0.25">
      <c r="A116" s="2" t="str">
        <f>"SUR"&amp;TEXT(Table87[[#This Row],[Count]],"000")&amp;"."&amp;IF(Table87[[#This Row],[Category]]="Essential","E",IF(Table87[[#This Row],[Category]]="Discretionary","D","O"))</f>
        <v>SUR095.D</v>
      </c>
      <c r="B116" s="2">
        <f>MAX(Table86[Count])+ROWS(INDEX(Table87[Count],1):Table87[[#This Row],[Count]])</f>
        <v>95</v>
      </c>
      <c r="C116" s="5" t="s">
        <v>100</v>
      </c>
      <c r="D116" s="5" t="s">
        <v>1878</v>
      </c>
      <c r="E116" s="2" t="s">
        <v>18</v>
      </c>
      <c r="F116" s="2" t="s">
        <v>127</v>
      </c>
      <c r="Q116" s="2"/>
    </row>
    <row r="117" spans="1:18" ht="30" x14ac:dyDescent="0.25">
      <c r="A117" s="2" t="str">
        <f>"SUR"&amp;TEXT(Table87[[#This Row],[Count]],"000")&amp;"."&amp;IF(Table87[[#This Row],[Category]]="Essential","E",IF(Table87[[#This Row],[Category]]="Discretionary","D","O"))</f>
        <v>SUR096.D</v>
      </c>
      <c r="B117" s="2">
        <f>MAX(Table86[Count])+ROWS(INDEX(Table87[Count],1):Table87[[#This Row],[Count]])</f>
        <v>96</v>
      </c>
      <c r="C117" s="5" t="s">
        <v>100</v>
      </c>
      <c r="D117" s="5" t="s">
        <v>1879</v>
      </c>
      <c r="E117" s="2" t="s">
        <v>18</v>
      </c>
      <c r="F117" s="2" t="s">
        <v>127</v>
      </c>
      <c r="Q117" s="2"/>
    </row>
    <row r="118" spans="1:18" ht="45" x14ac:dyDescent="0.25">
      <c r="A118" s="2" t="str">
        <f>"SUR"&amp;TEXT(Table87[[#This Row],[Count]],"000")&amp;"."&amp;IF(Table87[[#This Row],[Category]]="Essential","E",IF(Table87[[#This Row],[Category]]="Discretionary","D","O"))</f>
        <v>SUR097.D</v>
      </c>
      <c r="B118" s="2">
        <f>MAX(Table86[Count])+ROWS(INDEX(Table87[Count],1):Table87[[#This Row],[Count]])</f>
        <v>97</v>
      </c>
      <c r="C118" s="5" t="s">
        <v>100</v>
      </c>
      <c r="D118" s="5" t="s">
        <v>1880</v>
      </c>
      <c r="E118" s="2" t="s">
        <v>18</v>
      </c>
      <c r="Q118" s="2"/>
    </row>
    <row r="119" spans="1:18" ht="30" x14ac:dyDescent="0.25">
      <c r="A119" s="2" t="str">
        <f>"SUR"&amp;TEXT(Table87[[#This Row],[Count]],"000")&amp;"."&amp;IF(Table87[[#This Row],[Category]]="Essential","E",IF(Table87[[#This Row],[Category]]="Discretionary","D","O"))</f>
        <v>SUR098.D</v>
      </c>
      <c r="B119" s="2">
        <f>MAX(Table86[Count])+ROWS(INDEX(Table87[Count],1):Table87[[#This Row],[Count]])</f>
        <v>98</v>
      </c>
      <c r="C119" s="5" t="s">
        <v>100</v>
      </c>
      <c r="D119" s="5" t="s">
        <v>1881</v>
      </c>
      <c r="E119" s="2" t="s">
        <v>18</v>
      </c>
      <c r="L119" s="2" t="s">
        <v>127</v>
      </c>
      <c r="M119" s="2" t="s">
        <v>127</v>
      </c>
      <c r="Q119" s="2"/>
    </row>
    <row r="120" spans="1:18" ht="30" x14ac:dyDescent="0.25">
      <c r="A120" s="2" t="str">
        <f>"SUR"&amp;TEXT(Table87[[#This Row],[Count]],"000")&amp;"."&amp;IF(Table87[[#This Row],[Category]]="Essential","E",IF(Table87[[#This Row],[Category]]="Discretionary","D","O"))</f>
        <v>SUR099.D</v>
      </c>
      <c r="B120" s="2">
        <f>MAX(Table86[Count])+ROWS(INDEX(Table87[Count],1):Table87[[#This Row],[Count]])</f>
        <v>99</v>
      </c>
      <c r="C120" s="5" t="s">
        <v>100</v>
      </c>
      <c r="D120" s="5" t="s">
        <v>1848</v>
      </c>
      <c r="E120" s="2" t="s">
        <v>18</v>
      </c>
      <c r="F120" s="2" t="s">
        <v>127</v>
      </c>
      <c r="Q120" s="2"/>
      <c r="R120" s="5" t="s">
        <v>1882</v>
      </c>
    </row>
    <row r="121" spans="1:18" ht="30" x14ac:dyDescent="0.25">
      <c r="A121" s="2" t="str">
        <f>"SUR"&amp;TEXT(Table87[[#This Row],[Count]],"000")&amp;"."&amp;IF(Table87[[#This Row],[Category]]="Essential","E",IF(Table87[[#This Row],[Category]]="Discretionary","D","O"))</f>
        <v>SUR100.D</v>
      </c>
      <c r="B121" s="2">
        <f>MAX(Table86[Count])+ROWS(INDEX(Table87[Count],1):Table87[[#This Row],[Count]])</f>
        <v>100</v>
      </c>
      <c r="C121" s="5" t="s">
        <v>100</v>
      </c>
      <c r="D121" s="5" t="s">
        <v>1883</v>
      </c>
      <c r="E121" s="2" t="s">
        <v>18</v>
      </c>
      <c r="Q121" s="2"/>
    </row>
    <row r="122" spans="1:18" ht="45" x14ac:dyDescent="0.25">
      <c r="A122" s="2" t="str">
        <f>"SUR"&amp;TEXT(Table87[[#This Row],[Count]],"000")&amp;"."&amp;IF(Table87[[#This Row],[Category]]="Essential","E",IF(Table87[[#This Row],[Category]]="Discretionary","D","O"))</f>
        <v>SUR101.D</v>
      </c>
      <c r="B122" s="2">
        <f>MAX(Table86[Count])+ROWS(INDEX(Table87[Count],1):Table87[[#This Row],[Count]])</f>
        <v>101</v>
      </c>
      <c r="C122" s="5" t="s">
        <v>100</v>
      </c>
      <c r="D122" s="5" t="s">
        <v>1884</v>
      </c>
      <c r="E122" s="2" t="s">
        <v>18</v>
      </c>
      <c r="F122" s="2" t="s">
        <v>127</v>
      </c>
      <c r="Q122" s="2"/>
    </row>
    <row r="123" spans="1:18" ht="30" x14ac:dyDescent="0.25">
      <c r="A123" s="2" t="str">
        <f>"SUR"&amp;TEXT(Table87[[#This Row],[Count]],"000")&amp;"."&amp;IF(Table87[[#This Row],[Category]]="Essential","E",IF(Table87[[#This Row],[Category]]="Discretionary","D","O"))</f>
        <v>SUR102.D</v>
      </c>
      <c r="B123" s="2">
        <f>MAX(Table86[Count])+ROWS(INDEX(Table87[Count],1):Table87[[#This Row],[Count]])</f>
        <v>102</v>
      </c>
      <c r="C123" s="5" t="s">
        <v>100</v>
      </c>
      <c r="D123" s="5" t="s">
        <v>1885</v>
      </c>
      <c r="E123" s="2" t="s">
        <v>18</v>
      </c>
      <c r="F123" s="2" t="s">
        <v>127</v>
      </c>
      <c r="Q123" s="2"/>
    </row>
    <row r="124" spans="1:18" ht="30" x14ac:dyDescent="0.25">
      <c r="A124" s="2" t="str">
        <f>"SUR"&amp;TEXT(Table87[[#This Row],[Count]],"000")&amp;"."&amp;IF(Table87[[#This Row],[Category]]="Essential","E",IF(Table87[[#This Row],[Category]]="Discretionary","D","O"))</f>
        <v>SUR103.D</v>
      </c>
      <c r="B124" s="2">
        <f>MAX(Table86[Count])+ROWS(INDEX(Table87[Count],1):Table87[[#This Row],[Count]])</f>
        <v>103</v>
      </c>
      <c r="C124" s="5" t="s">
        <v>100</v>
      </c>
      <c r="D124" s="5" t="s">
        <v>1886</v>
      </c>
      <c r="E124" s="2" t="s">
        <v>18</v>
      </c>
      <c r="F124" s="2" t="s">
        <v>127</v>
      </c>
      <c r="Q124" s="2"/>
    </row>
    <row r="125" spans="1:18" ht="30" x14ac:dyDescent="0.25">
      <c r="A125" s="2" t="str">
        <f>"SUR"&amp;TEXT(Table87[[#This Row],[Count]],"000")&amp;"."&amp;IF(Table87[[#This Row],[Category]]="Essential","E",IF(Table87[[#This Row],[Category]]="Discretionary","D","O"))</f>
        <v>SUR104.D</v>
      </c>
      <c r="B125" s="2">
        <f>MAX(Table86[Count])+ROWS(INDEX(Table87[Count],1):Table87[[#This Row],[Count]])</f>
        <v>104</v>
      </c>
      <c r="C125" s="5" t="s">
        <v>100</v>
      </c>
      <c r="D125" s="5" t="s">
        <v>1887</v>
      </c>
      <c r="E125" s="2" t="s">
        <v>18</v>
      </c>
      <c r="F125" s="2" t="s">
        <v>127</v>
      </c>
      <c r="Q125" s="2"/>
    </row>
    <row r="126" spans="1:18" ht="30" x14ac:dyDescent="0.25">
      <c r="A126" s="2" t="str">
        <f>"SUR"&amp;TEXT(Table87[[#This Row],[Count]],"000")&amp;"."&amp;IF(Table87[[#This Row],[Category]]="Essential","E",IF(Table87[[#This Row],[Category]]="Discretionary","D","O"))</f>
        <v>SUR105.D</v>
      </c>
      <c r="B126" s="2">
        <f>MAX(Table86[Count])+ROWS(INDEX(Table87[Count],1):Table87[[#This Row],[Count]])</f>
        <v>105</v>
      </c>
      <c r="C126" s="5" t="s">
        <v>100</v>
      </c>
      <c r="D126" s="5" t="s">
        <v>1888</v>
      </c>
      <c r="E126" s="2" t="s">
        <v>18</v>
      </c>
      <c r="Q126" s="2"/>
    </row>
    <row r="127" spans="1:18" ht="30" x14ac:dyDescent="0.25">
      <c r="A127" s="2" t="str">
        <f>"SUR"&amp;TEXT(Table87[[#This Row],[Count]],"000")&amp;"."&amp;IF(Table87[[#This Row],[Category]]="Essential","E",IF(Table87[[#This Row],[Category]]="Discretionary","D","O"))</f>
        <v>SUR106.D</v>
      </c>
      <c r="B127" s="2">
        <f>MAX(Table86[Count])+ROWS(INDEX(Table87[Count],1):Table87[[#This Row],[Count]])</f>
        <v>106</v>
      </c>
      <c r="C127" s="5" t="s">
        <v>100</v>
      </c>
      <c r="D127" s="5" t="s">
        <v>1776</v>
      </c>
      <c r="E127" s="2" t="s">
        <v>18</v>
      </c>
      <c r="Q127" s="2"/>
    </row>
    <row r="128" spans="1:18" ht="30" x14ac:dyDescent="0.25">
      <c r="A128" s="2" t="str">
        <f>"SUR"&amp;TEXT(Table87[[#This Row],[Count]],"000")&amp;"."&amp;IF(Table87[[#This Row],[Category]]="Essential","E",IF(Table87[[#This Row],[Category]]="Discretionary","D","O"))</f>
        <v>SUR107.D</v>
      </c>
      <c r="B128" s="2">
        <f>MAX(Table86[Count])+ROWS(INDEX(Table87[Count],1):Table87[[#This Row],[Count]])</f>
        <v>107</v>
      </c>
      <c r="C128" s="5" t="s">
        <v>100</v>
      </c>
      <c r="D128" s="5" t="s">
        <v>1889</v>
      </c>
      <c r="E128" s="2" t="s">
        <v>18</v>
      </c>
      <c r="L128" s="2" t="s">
        <v>127</v>
      </c>
      <c r="M128" s="2" t="s">
        <v>127</v>
      </c>
      <c r="Q128" s="2"/>
    </row>
    <row r="129" spans="1:18" ht="30" x14ac:dyDescent="0.25">
      <c r="A129" s="2" t="str">
        <f>"SUR"&amp;TEXT(Table87[[#This Row],[Count]],"000")&amp;"."&amp;IF(Table87[[#This Row],[Category]]="Essential","E",IF(Table87[[#This Row],[Category]]="Discretionary","D","O"))</f>
        <v>SUR108.D</v>
      </c>
      <c r="B129" s="2">
        <f>MAX(Table86[Count])+ROWS(INDEX(Table87[Count],1):Table87[[#This Row],[Count]])</f>
        <v>108</v>
      </c>
      <c r="C129" s="5" t="s">
        <v>100</v>
      </c>
      <c r="D129" s="5" t="s">
        <v>1890</v>
      </c>
      <c r="E129" s="2" t="s">
        <v>18</v>
      </c>
      <c r="F129" s="2" t="s">
        <v>127</v>
      </c>
      <c r="Q129" s="2"/>
    </row>
    <row r="130" spans="1:18" ht="30" x14ac:dyDescent="0.25">
      <c r="A130" s="2" t="str">
        <f>"SUR"&amp;TEXT(Table87[[#This Row],[Count]],"000")&amp;"."&amp;IF(Table87[[#This Row],[Category]]="Essential","E",IF(Table87[[#This Row],[Category]]="Discretionary","D","O"))</f>
        <v>SUR109.D</v>
      </c>
      <c r="B130" s="2">
        <f>MAX(Table86[Count])+ROWS(INDEX(Table87[Count],1):Table87[[#This Row],[Count]])</f>
        <v>109</v>
      </c>
      <c r="C130" s="5" t="s">
        <v>100</v>
      </c>
      <c r="D130" s="5" t="s">
        <v>1891</v>
      </c>
      <c r="E130" s="2" t="s">
        <v>18</v>
      </c>
      <c r="F130" s="2" t="s">
        <v>127</v>
      </c>
      <c r="Q130" s="2"/>
    </row>
    <row r="131" spans="1:18" ht="30" x14ac:dyDescent="0.25">
      <c r="A131" s="2" t="str">
        <f>"SUR"&amp;TEXT(Table87[[#This Row],[Count]],"000")&amp;"."&amp;IF(Table87[[#This Row],[Category]]="Essential","E",IF(Table87[[#This Row],[Category]]="Discretionary","D","O"))</f>
        <v>SUR110.D</v>
      </c>
      <c r="B131" s="2">
        <f>MAX(Table86[Count])+ROWS(INDEX(Table87[Count],1):Table87[[#This Row],[Count]])</f>
        <v>110</v>
      </c>
      <c r="C131" s="5" t="s">
        <v>100</v>
      </c>
      <c r="D131" s="5" t="s">
        <v>1892</v>
      </c>
      <c r="E131" s="2" t="s">
        <v>18</v>
      </c>
      <c r="L131" s="2" t="s">
        <v>127</v>
      </c>
      <c r="M131" s="2" t="s">
        <v>127</v>
      </c>
      <c r="Q131" s="2"/>
    </row>
    <row r="132" spans="1:18" ht="30" x14ac:dyDescent="0.25">
      <c r="A132" s="2" t="str">
        <f>"SUR"&amp;TEXT(Table87[[#This Row],[Count]],"000")&amp;"."&amp;IF(Table87[[#This Row],[Category]]="Essential","E",IF(Table87[[#This Row],[Category]]="Discretionary","D","O"))</f>
        <v>SUR111.D</v>
      </c>
      <c r="B132" s="2">
        <f>MAX(Table86[Count])+ROWS(INDEX(Table87[Count],1):Table87[[#This Row],[Count]])</f>
        <v>111</v>
      </c>
      <c r="C132" s="5" t="s">
        <v>100</v>
      </c>
      <c r="D132" s="5" t="s">
        <v>1893</v>
      </c>
      <c r="E132" s="2" t="s">
        <v>18</v>
      </c>
      <c r="F132" s="2" t="s">
        <v>127</v>
      </c>
      <c r="Q132" s="2"/>
    </row>
    <row r="133" spans="1:18" ht="30" x14ac:dyDescent="0.25">
      <c r="A133" s="2" t="str">
        <f>"SUR"&amp;TEXT(Table87[[#This Row],[Count]],"000")&amp;"."&amp;IF(Table87[[#This Row],[Category]]="Essential","E",IF(Table87[[#This Row],[Category]]="Discretionary","D","O"))</f>
        <v>SUR112.D</v>
      </c>
      <c r="B133" s="2">
        <f>MAX(Table86[Count])+ROWS(INDEX(Table87[Count],1):Table87[[#This Row],[Count]])</f>
        <v>112</v>
      </c>
      <c r="C133" s="5" t="s">
        <v>100</v>
      </c>
      <c r="D133" s="5" t="s">
        <v>1894</v>
      </c>
      <c r="E133" s="2" t="s">
        <v>18</v>
      </c>
      <c r="L133" s="2" t="s">
        <v>127</v>
      </c>
      <c r="Q133" s="2"/>
    </row>
    <row r="134" spans="1:18" ht="30" x14ac:dyDescent="0.25">
      <c r="A134" s="2" t="str">
        <f>"SUR"&amp;TEXT(Table87[[#This Row],[Count]],"000")&amp;"."&amp;IF(Table87[[#This Row],[Category]]="Essential","E",IF(Table87[[#This Row],[Category]]="Discretionary","D","O"))</f>
        <v>SUR113.D</v>
      </c>
      <c r="B134" s="2">
        <f>MAX(Table86[Count])+ROWS(INDEX(Table87[Count],1):Table87[[#This Row],[Count]])</f>
        <v>113</v>
      </c>
      <c r="C134" s="5" t="s">
        <v>100</v>
      </c>
      <c r="D134" s="5" t="s">
        <v>1895</v>
      </c>
      <c r="E134" s="2" t="s">
        <v>18</v>
      </c>
      <c r="F134" s="2" t="s">
        <v>127</v>
      </c>
      <c r="Q134" s="2"/>
    </row>
    <row r="135" spans="1:18" ht="30" x14ac:dyDescent="0.25">
      <c r="A135" s="2" t="str">
        <f>"SUR"&amp;TEXT(Table87[[#This Row],[Count]],"000")&amp;"."&amp;IF(Table87[[#This Row],[Category]]="Essential","E",IF(Table87[[#This Row],[Category]]="Discretionary","D","O"))</f>
        <v>SUR114.D</v>
      </c>
      <c r="B135" s="2">
        <f>MAX(Table86[Count])+ROWS(INDEX(Table87[Count],1):Table87[[#This Row],[Count]])</f>
        <v>114</v>
      </c>
      <c r="C135" s="5" t="s">
        <v>100</v>
      </c>
      <c r="D135" s="5" t="s">
        <v>1896</v>
      </c>
      <c r="E135" s="2" t="s">
        <v>18</v>
      </c>
      <c r="F135" s="2" t="s">
        <v>127</v>
      </c>
      <c r="Q135" s="2"/>
    </row>
    <row r="136" spans="1:18" ht="30" x14ac:dyDescent="0.25">
      <c r="A136" s="2" t="str">
        <f>"SUR"&amp;TEXT(Table87[[#This Row],[Count]],"000")&amp;"."&amp;IF(Table87[[#This Row],[Category]]="Essential","E",IF(Table87[[#This Row],[Category]]="Discretionary","D","O"))</f>
        <v>SUR115.D</v>
      </c>
      <c r="B136" s="2">
        <f>MAX(Table86[Count])+ROWS(INDEX(Table87[Count],1):Table87[[#This Row],[Count]])</f>
        <v>115</v>
      </c>
      <c r="C136" s="5" t="s">
        <v>100</v>
      </c>
      <c r="D136" s="5" t="s">
        <v>1897</v>
      </c>
      <c r="E136" s="2" t="s">
        <v>18</v>
      </c>
      <c r="F136" s="2" t="s">
        <v>127</v>
      </c>
      <c r="Q136" s="2"/>
    </row>
    <row r="137" spans="1:18" ht="30" x14ac:dyDescent="0.25">
      <c r="A137" s="2" t="str">
        <f>"SUR"&amp;TEXT(Table87[[#This Row],[Count]],"000")&amp;"."&amp;IF(Table87[[#This Row],[Category]]="Essential","E",IF(Table87[[#This Row],[Category]]="Discretionary","D","O"))</f>
        <v>SUR116.D</v>
      </c>
      <c r="B137" s="2">
        <f>MAX(Table86[Count])+ROWS(INDEX(Table87[Count],1):Table87[[#This Row],[Count]])</f>
        <v>116</v>
      </c>
      <c r="C137" s="5" t="s">
        <v>100</v>
      </c>
      <c r="D137" s="5" t="s">
        <v>1898</v>
      </c>
      <c r="E137" s="2" t="s">
        <v>18</v>
      </c>
      <c r="F137" s="2" t="s">
        <v>127</v>
      </c>
      <c r="Q137" s="2"/>
    </row>
    <row r="138" spans="1:18" x14ac:dyDescent="0.25">
      <c r="Q138" s="2"/>
    </row>
    <row r="139" spans="1:18" x14ac:dyDescent="0.25">
      <c r="A139" s="58" t="s">
        <v>103</v>
      </c>
      <c r="B139" s="58"/>
      <c r="C139" s="58"/>
      <c r="D139" s="58"/>
      <c r="E139" s="58"/>
      <c r="F139" s="58"/>
      <c r="G139" s="58"/>
      <c r="H139" s="58"/>
      <c r="I139" s="58"/>
      <c r="J139" s="58"/>
      <c r="K139" s="58"/>
      <c r="L139" s="58"/>
      <c r="M139" s="58"/>
      <c r="N139" s="58"/>
      <c r="O139" s="58"/>
      <c r="P139" s="58"/>
      <c r="Q139" s="58"/>
      <c r="R139" s="58"/>
    </row>
    <row r="141" spans="1:18" x14ac:dyDescent="0.25">
      <c r="A141" s="6" t="s">
        <v>120</v>
      </c>
      <c r="B141" s="6" t="s">
        <v>121</v>
      </c>
      <c r="C141" s="7" t="s">
        <v>122</v>
      </c>
      <c r="D141" s="7" t="s">
        <v>123</v>
      </c>
      <c r="E141" s="6" t="s">
        <v>8</v>
      </c>
      <c r="F141" s="6" t="s">
        <v>124</v>
      </c>
      <c r="G141" s="6" t="s">
        <v>154</v>
      </c>
      <c r="H141" s="6" t="s">
        <v>155</v>
      </c>
      <c r="I141" s="6" t="s">
        <v>156</v>
      </c>
      <c r="J141" s="6" t="s">
        <v>157</v>
      </c>
      <c r="K141" s="6" t="s">
        <v>158</v>
      </c>
      <c r="L141" s="6" t="s">
        <v>159</v>
      </c>
      <c r="M141" s="6" t="s">
        <v>160</v>
      </c>
      <c r="N141" s="6" t="s">
        <v>161</v>
      </c>
      <c r="O141" s="6" t="s">
        <v>162</v>
      </c>
      <c r="P141" s="6" t="s">
        <v>163</v>
      </c>
      <c r="Q141" s="7" t="s">
        <v>164</v>
      </c>
      <c r="R141" s="7" t="s">
        <v>125</v>
      </c>
    </row>
    <row r="142" spans="1:18" ht="30" x14ac:dyDescent="0.25">
      <c r="A142" s="2" t="str">
        <f>"SUR"&amp;TEXT(Table88[[#This Row],[Count]],"000")&amp;"."&amp;IF(Table88[[#This Row],[Category]]="Essential","E",IF(Table88[[#This Row],[Category]]="Discretionary","D","O"))</f>
        <v>SUR117.D</v>
      </c>
      <c r="B142" s="2">
        <f>MAX(Table87[Count])+ROWS(INDEX(Table88[Count],1):Table88[[#This Row],[Count]])</f>
        <v>117</v>
      </c>
      <c r="C142" s="5" t="s">
        <v>103</v>
      </c>
      <c r="D142" s="5" t="s">
        <v>1899</v>
      </c>
      <c r="E142" s="2" t="s">
        <v>18</v>
      </c>
      <c r="F142" s="2" t="s">
        <v>127</v>
      </c>
      <c r="R142" s="5" t="s">
        <v>1791</v>
      </c>
    </row>
    <row r="143" spans="1:18" x14ac:dyDescent="0.25">
      <c r="A143" s="2" t="str">
        <f>"SUR"&amp;TEXT(Table88[[#This Row],[Count]],"000")&amp;"."&amp;IF(Table88[[#This Row],[Category]]="Essential","E",IF(Table88[[#This Row],[Category]]="Discretionary","D","O"))</f>
        <v>SUR118.D</v>
      </c>
      <c r="B143" s="2">
        <f>MAX(Table87[Count])+ROWS(INDEX(Table88[Count],1):Table88[[#This Row],[Count]])</f>
        <v>118</v>
      </c>
      <c r="C143" s="5" t="s">
        <v>103</v>
      </c>
      <c r="D143" s="5" t="s">
        <v>1900</v>
      </c>
      <c r="E143" s="2" t="s">
        <v>18</v>
      </c>
      <c r="F143" s="2" t="s">
        <v>127</v>
      </c>
    </row>
    <row r="144" spans="1:18" ht="30" x14ac:dyDescent="0.25">
      <c r="A144" s="2" t="str">
        <f>"SUR"&amp;TEXT(Table88[[#This Row],[Count]],"000")&amp;"."&amp;IF(Table88[[#This Row],[Category]]="Essential","E",IF(Table88[[#This Row],[Category]]="Discretionary","D","O"))</f>
        <v>SUR119.D</v>
      </c>
      <c r="B144" s="2">
        <f>MAX(Table87[Count])+ROWS(INDEX(Table88[Count],1):Table88[[#This Row],[Count]])</f>
        <v>119</v>
      </c>
      <c r="C144" s="5" t="s">
        <v>103</v>
      </c>
      <c r="D144" s="5" t="s">
        <v>1901</v>
      </c>
      <c r="E144" s="2" t="s">
        <v>18</v>
      </c>
      <c r="F144" s="2" t="s">
        <v>127</v>
      </c>
    </row>
    <row r="145" spans="1:18" ht="30" x14ac:dyDescent="0.25">
      <c r="A145" s="2" t="str">
        <f>"SUR"&amp;TEXT(Table88[[#This Row],[Count]],"000")&amp;"."&amp;IF(Table88[[#This Row],[Category]]="Essential","E",IF(Table88[[#This Row],[Category]]="Discretionary","D","O"))</f>
        <v>SUR120.D</v>
      </c>
      <c r="B145" s="2">
        <f>MAX(Table87[Count])+ROWS(INDEX(Table88[Count],1):Table88[[#This Row],[Count]])</f>
        <v>120</v>
      </c>
      <c r="C145" s="5" t="s">
        <v>103</v>
      </c>
      <c r="D145" s="5" t="s">
        <v>1902</v>
      </c>
      <c r="E145" s="2" t="s">
        <v>18</v>
      </c>
      <c r="F145" s="2" t="s">
        <v>675</v>
      </c>
    </row>
    <row r="146" spans="1:18" x14ac:dyDescent="0.25">
      <c r="A146" s="2" t="str">
        <f>"SUR"&amp;TEXT(Table88[[#This Row],[Count]],"000")&amp;"."&amp;IF(Table88[[#This Row],[Category]]="Essential","E",IF(Table88[[#This Row],[Category]]="Discretionary","D","O"))</f>
        <v>SUR121.D</v>
      </c>
      <c r="B146" s="2">
        <f>MAX(Table87[Count])+ROWS(INDEX(Table88[Count],1):Table88[[#This Row],[Count]])</f>
        <v>121</v>
      </c>
      <c r="C146" s="5" t="s">
        <v>103</v>
      </c>
      <c r="D146" s="5" t="s">
        <v>1903</v>
      </c>
      <c r="E146" s="2" t="s">
        <v>18</v>
      </c>
      <c r="F146" s="2" t="s">
        <v>127</v>
      </c>
    </row>
    <row r="147" spans="1:18" x14ac:dyDescent="0.25">
      <c r="A147" s="2" t="str">
        <f>"SUR"&amp;TEXT(Table88[[#This Row],[Count]],"000")&amp;"."&amp;IF(Table88[[#This Row],[Category]]="Essential","E",IF(Table88[[#This Row],[Category]]="Discretionary","D","O"))</f>
        <v>SUR122.D</v>
      </c>
      <c r="B147" s="2">
        <f>MAX(Table87[Count])+ROWS(INDEX(Table88[Count],1):Table88[[#This Row],[Count]])</f>
        <v>122</v>
      </c>
      <c r="C147" s="5" t="s">
        <v>103</v>
      </c>
      <c r="D147" s="5" t="s">
        <v>1904</v>
      </c>
      <c r="E147" s="2" t="s">
        <v>18</v>
      </c>
      <c r="L147" s="2" t="s">
        <v>127</v>
      </c>
      <c r="M147" s="2" t="s">
        <v>127</v>
      </c>
      <c r="N147" s="2" t="s">
        <v>127</v>
      </c>
      <c r="O147" s="2" t="s">
        <v>127</v>
      </c>
      <c r="P147" s="2" t="s">
        <v>127</v>
      </c>
      <c r="Q147" s="5" t="s">
        <v>127</v>
      </c>
    </row>
    <row r="148" spans="1:18" x14ac:dyDescent="0.25">
      <c r="A148" s="2" t="str">
        <f>"SUR"&amp;TEXT(Table88[[#This Row],[Count]],"000")&amp;"."&amp;IF(Table88[[#This Row],[Category]]="Essential","E",IF(Table88[[#This Row],[Category]]="Discretionary","D","O"))</f>
        <v>SUR123.D</v>
      </c>
      <c r="B148" s="2">
        <f>MAX(Table87[Count])+ROWS(INDEX(Table88[Count],1):Table88[[#This Row],[Count]])</f>
        <v>123</v>
      </c>
      <c r="C148" s="5" t="s">
        <v>103</v>
      </c>
      <c r="D148" s="5" t="s">
        <v>1905</v>
      </c>
      <c r="E148" s="2" t="s">
        <v>18</v>
      </c>
      <c r="F148" s="2" t="s">
        <v>127</v>
      </c>
    </row>
    <row r="149" spans="1:18" x14ac:dyDescent="0.25">
      <c r="A149" s="2" t="str">
        <f>"SUR"&amp;TEXT(Table88[[#This Row],[Count]],"000")&amp;"."&amp;IF(Table88[[#This Row],[Category]]="Essential","E",IF(Table88[[#This Row],[Category]]="Discretionary","D","O"))</f>
        <v>SUR124.D</v>
      </c>
      <c r="B149" s="2">
        <f>MAX(Table87[Count])+ROWS(INDEX(Table88[Count],1):Table88[[#This Row],[Count]])</f>
        <v>124</v>
      </c>
      <c r="C149" s="5" t="s">
        <v>103</v>
      </c>
      <c r="D149" s="5" t="s">
        <v>1906</v>
      </c>
      <c r="E149" s="2" t="s">
        <v>18</v>
      </c>
      <c r="F149" s="2" t="s">
        <v>127</v>
      </c>
      <c r="R149" s="5" t="s">
        <v>1907</v>
      </c>
    </row>
    <row r="150" spans="1:18" ht="30" x14ac:dyDescent="0.25">
      <c r="A150" s="2" t="str">
        <f>"SUR"&amp;TEXT(Table88[[#This Row],[Count]],"000")&amp;"."&amp;IF(Table88[[#This Row],[Category]]="Essential","E",IF(Table88[[#This Row],[Category]]="Discretionary","D","O"))</f>
        <v>SUR125.D</v>
      </c>
      <c r="B150" s="2">
        <f>MAX(Table87[Count])+ROWS(INDEX(Table88[Count],1):Table88[[#This Row],[Count]])</f>
        <v>125</v>
      </c>
      <c r="C150" s="5" t="s">
        <v>103</v>
      </c>
      <c r="D150" s="5" t="s">
        <v>1908</v>
      </c>
      <c r="E150" s="2" t="s">
        <v>18</v>
      </c>
      <c r="L150" s="2" t="s">
        <v>127</v>
      </c>
      <c r="M150" s="2" t="s">
        <v>127</v>
      </c>
      <c r="N150" s="2" t="s">
        <v>127</v>
      </c>
      <c r="O150" s="2" t="s">
        <v>127</v>
      </c>
      <c r="P150" s="2" t="s">
        <v>127</v>
      </c>
      <c r="Q150" s="5" t="s">
        <v>127</v>
      </c>
      <c r="R150" s="5" t="s">
        <v>1907</v>
      </c>
    </row>
    <row r="151" spans="1:18" x14ac:dyDescent="0.25">
      <c r="A151" s="2" t="str">
        <f>"SUR"&amp;TEXT(Table88[[#This Row],[Count]],"000")&amp;"."&amp;IF(Table88[[#This Row],[Category]]="Essential","E",IF(Table88[[#This Row],[Category]]="Discretionary","D","O"))</f>
        <v>SUR126.D</v>
      </c>
      <c r="B151" s="2">
        <f>MAX(Table87[Count])+ROWS(INDEX(Table88[Count],1):Table88[[#This Row],[Count]])</f>
        <v>126</v>
      </c>
      <c r="C151" s="5" t="s">
        <v>103</v>
      </c>
      <c r="D151" s="5" t="s">
        <v>1909</v>
      </c>
      <c r="E151" s="2" t="s">
        <v>18</v>
      </c>
      <c r="F151" s="2" t="s">
        <v>127</v>
      </c>
      <c r="R151" s="5" t="s">
        <v>1907</v>
      </c>
    </row>
    <row r="152" spans="1:18" x14ac:dyDescent="0.25">
      <c r="A152" s="2" t="str">
        <f>"SUR"&amp;TEXT(Table88[[#This Row],[Count]],"000")&amp;"."&amp;IF(Table88[[#This Row],[Category]]="Essential","E",IF(Table88[[#This Row],[Category]]="Discretionary","D","O"))</f>
        <v>SUR127.D</v>
      </c>
      <c r="B152" s="2">
        <f>MAX(Table87[Count])+ROWS(INDEX(Table88[Count],1):Table88[[#This Row],[Count]])</f>
        <v>127</v>
      </c>
      <c r="C152" s="5" t="s">
        <v>103</v>
      </c>
      <c r="D152" s="5" t="s">
        <v>1910</v>
      </c>
      <c r="E152" s="2" t="s">
        <v>18</v>
      </c>
      <c r="O152" s="2" t="s">
        <v>127</v>
      </c>
      <c r="P152" s="2" t="s">
        <v>127</v>
      </c>
      <c r="Q152" s="5" t="s">
        <v>127</v>
      </c>
    </row>
    <row r="153" spans="1:18" x14ac:dyDescent="0.25">
      <c r="A153" s="2" t="str">
        <f>"SUR"&amp;TEXT(Table88[[#This Row],[Count]],"000")&amp;"."&amp;IF(Table88[[#This Row],[Category]]="Essential","E",IF(Table88[[#This Row],[Category]]="Discretionary","D","O"))</f>
        <v>SUR128.D</v>
      </c>
      <c r="B153" s="2">
        <f>MAX(Table87[Count])+ROWS(INDEX(Table88[Count],1):Table88[[#This Row],[Count]])</f>
        <v>128</v>
      </c>
      <c r="C153" s="5" t="s">
        <v>103</v>
      </c>
      <c r="D153" s="5" t="s">
        <v>1911</v>
      </c>
      <c r="E153" s="2" t="s">
        <v>18</v>
      </c>
      <c r="F153" s="2" t="s">
        <v>127</v>
      </c>
      <c r="R153" s="5" t="s">
        <v>1912</v>
      </c>
    </row>
    <row r="154" spans="1:18" x14ac:dyDescent="0.25">
      <c r="A154" s="2" t="str">
        <f>"SUR"&amp;TEXT(Table88[[#This Row],[Count]],"000")&amp;"."&amp;IF(Table88[[#This Row],[Category]]="Essential","E",IF(Table88[[#This Row],[Category]]="Discretionary","D","O"))</f>
        <v>SUR129.D</v>
      </c>
      <c r="B154" s="2">
        <f>MAX(Table87[Count])+ROWS(INDEX(Table88[Count],1):Table88[[#This Row],[Count]])</f>
        <v>129</v>
      </c>
      <c r="C154" s="5" t="s">
        <v>103</v>
      </c>
      <c r="D154" s="5" t="s">
        <v>1913</v>
      </c>
      <c r="E154" s="2" t="s">
        <v>18</v>
      </c>
      <c r="F154" s="2" t="s">
        <v>127</v>
      </c>
      <c r="R154" s="5" t="s">
        <v>1914</v>
      </c>
    </row>
    <row r="155" spans="1:18" ht="30" x14ac:dyDescent="0.25">
      <c r="A155" s="2" t="str">
        <f>"SUR"&amp;TEXT(Table88[[#This Row],[Count]],"000")&amp;"."&amp;IF(Table88[[#This Row],[Category]]="Essential","E",IF(Table88[[#This Row],[Category]]="Discretionary","D","O"))</f>
        <v>SUR130.D</v>
      </c>
      <c r="B155" s="2">
        <f>MAX(Table87[Count])+ROWS(INDEX(Table88[Count],1):Table88[[#This Row],[Count]])</f>
        <v>130</v>
      </c>
      <c r="C155" s="5" t="s">
        <v>103</v>
      </c>
      <c r="D155" s="5" t="s">
        <v>1915</v>
      </c>
      <c r="E155" s="2" t="s">
        <v>18</v>
      </c>
      <c r="F155" s="2" t="s">
        <v>127</v>
      </c>
    </row>
    <row r="156" spans="1:18" x14ac:dyDescent="0.25">
      <c r="A156" s="2" t="str">
        <f>"SUR"&amp;TEXT(Table88[[#This Row],[Count]],"000")&amp;"."&amp;IF(Table88[[#This Row],[Category]]="Essential","E",IF(Table88[[#This Row],[Category]]="Discretionary","D","O"))</f>
        <v>SUR131.D</v>
      </c>
      <c r="B156" s="2">
        <f>MAX(Table87[Count])+ROWS(INDEX(Table88[Count],1):Table88[[#This Row],[Count]])</f>
        <v>131</v>
      </c>
      <c r="C156" s="5" t="s">
        <v>103</v>
      </c>
      <c r="D156" s="5" t="s">
        <v>1916</v>
      </c>
      <c r="E156" s="2" t="s">
        <v>18</v>
      </c>
      <c r="F156" s="2" t="s">
        <v>127</v>
      </c>
    </row>
    <row r="157" spans="1:18" x14ac:dyDescent="0.25">
      <c r="A157" s="2" t="str">
        <f>"SUR"&amp;TEXT(Table88[[#This Row],[Count]],"000")&amp;"."&amp;IF(Table88[[#This Row],[Category]]="Essential","E",IF(Table88[[#This Row],[Category]]="Discretionary","D","O"))</f>
        <v>SUR132.D</v>
      </c>
      <c r="B157" s="2">
        <f>MAX(Table87[Count])+ROWS(INDEX(Table88[Count],1):Table88[[#This Row],[Count]])</f>
        <v>132</v>
      </c>
      <c r="C157" s="5" t="s">
        <v>103</v>
      </c>
      <c r="D157" s="5" t="s">
        <v>1917</v>
      </c>
      <c r="E157" s="2" t="s">
        <v>18</v>
      </c>
      <c r="F157" s="2" t="s">
        <v>127</v>
      </c>
    </row>
    <row r="158" spans="1:18" x14ac:dyDescent="0.25">
      <c r="A158" s="2" t="str">
        <f>"SUR"&amp;TEXT(Table88[[#This Row],[Count]],"000")&amp;"."&amp;IF(Table88[[#This Row],[Category]]="Essential","E",IF(Table88[[#This Row],[Category]]="Discretionary","D","O"))</f>
        <v>SUR133.D</v>
      </c>
      <c r="B158" s="2">
        <f>MAX(Table87[Count])+ROWS(INDEX(Table88[Count],1):Table88[[#This Row],[Count]])</f>
        <v>133</v>
      </c>
      <c r="C158" s="5" t="s">
        <v>103</v>
      </c>
      <c r="D158" s="5" t="s">
        <v>1918</v>
      </c>
      <c r="E158" s="2" t="s">
        <v>18</v>
      </c>
      <c r="L158" s="2" t="s">
        <v>127</v>
      </c>
      <c r="M158" s="2" t="s">
        <v>127</v>
      </c>
      <c r="N158" s="2" t="s">
        <v>127</v>
      </c>
      <c r="O158" s="2" t="s">
        <v>127</v>
      </c>
      <c r="P158" s="2" t="s">
        <v>127</v>
      </c>
      <c r="Q158" s="5" t="s">
        <v>127</v>
      </c>
      <c r="R158" s="5" t="s">
        <v>1907</v>
      </c>
    </row>
    <row r="159" spans="1:18" ht="30" x14ac:dyDescent="0.25">
      <c r="A159" s="2" t="str">
        <f>"SUR"&amp;TEXT(Table88[[#This Row],[Count]],"000")&amp;"."&amp;IF(Table88[[#This Row],[Category]]="Essential","E",IF(Table88[[#This Row],[Category]]="Discretionary","D","O"))</f>
        <v>SUR134.D</v>
      </c>
      <c r="B159" s="2">
        <f>MAX(Table87[Count])+ROWS(INDEX(Table88[Count],1):Table88[[#This Row],[Count]])</f>
        <v>134</v>
      </c>
      <c r="C159" s="5" t="s">
        <v>103</v>
      </c>
      <c r="D159" s="5" t="s">
        <v>1919</v>
      </c>
      <c r="E159" s="2" t="s">
        <v>18</v>
      </c>
      <c r="F159" s="2" t="s">
        <v>127</v>
      </c>
      <c r="R159" s="5" t="s">
        <v>1907</v>
      </c>
    </row>
    <row r="160" spans="1:18" x14ac:dyDescent="0.25">
      <c r="A160" s="2" t="str">
        <f>"SUR"&amp;TEXT(Table88[[#This Row],[Count]],"000")&amp;"."&amp;IF(Table88[[#This Row],[Category]]="Essential","E",IF(Table88[[#This Row],[Category]]="Discretionary","D","O"))</f>
        <v>SUR135.D</v>
      </c>
      <c r="B160" s="2">
        <f>MAX(Table87[Count])+ROWS(INDEX(Table88[Count],1):Table88[[#This Row],[Count]])</f>
        <v>135</v>
      </c>
      <c r="C160" s="5" t="s">
        <v>103</v>
      </c>
      <c r="D160" s="5" t="s">
        <v>1920</v>
      </c>
      <c r="E160" s="2" t="s">
        <v>18</v>
      </c>
      <c r="F160" s="2" t="s">
        <v>127</v>
      </c>
      <c r="L160" s="2" t="s">
        <v>127</v>
      </c>
    </row>
    <row r="161" spans="1:18" x14ac:dyDescent="0.25">
      <c r="A161" s="2" t="str">
        <f>"SUR"&amp;TEXT(Table88[[#This Row],[Count]],"000")&amp;"."&amp;IF(Table88[[#This Row],[Category]]="Essential","E",IF(Table88[[#This Row],[Category]]="Discretionary","D","O"))</f>
        <v>SUR136.D</v>
      </c>
      <c r="B161" s="2">
        <f>MAX(Table87[Count])+ROWS(INDEX(Table88[Count],1):Table88[[#This Row],[Count]])</f>
        <v>136</v>
      </c>
      <c r="C161" s="5" t="s">
        <v>103</v>
      </c>
      <c r="D161" s="5" t="s">
        <v>1921</v>
      </c>
      <c r="E161" s="2" t="s">
        <v>18</v>
      </c>
      <c r="F161" s="2" t="s">
        <v>127</v>
      </c>
    </row>
    <row r="162" spans="1:18" ht="45" x14ac:dyDescent="0.25">
      <c r="A162" s="2" t="str">
        <f>"SUR"&amp;TEXT(Table88[[#This Row],[Count]],"000")&amp;"."&amp;IF(Table88[[#This Row],[Category]]="Essential","E",IF(Table88[[#This Row],[Category]]="Discretionary","D","O"))</f>
        <v>SUR137.D</v>
      </c>
      <c r="B162" s="2">
        <f>MAX(Table87[Count])+ROWS(INDEX(Table88[Count],1):Table88[[#This Row],[Count]])</f>
        <v>137</v>
      </c>
      <c r="C162" s="5" t="s">
        <v>103</v>
      </c>
      <c r="D162" s="5" t="s">
        <v>1922</v>
      </c>
      <c r="E162" s="2" t="s">
        <v>18</v>
      </c>
      <c r="F162" s="2" t="s">
        <v>127</v>
      </c>
    </row>
    <row r="163" spans="1:18" x14ac:dyDescent="0.25">
      <c r="A163" s="2" t="str">
        <f>"SUR"&amp;TEXT(Table88[[#This Row],[Count]],"000")&amp;"."&amp;IF(Table88[[#This Row],[Category]]="Essential","E",IF(Table88[[#This Row],[Category]]="Discretionary","D","O"))</f>
        <v>SUR138.D</v>
      </c>
      <c r="B163" s="2">
        <f>MAX(Table87[Count])+ROWS(INDEX(Table88[Count],1):Table88[[#This Row],[Count]])</f>
        <v>138</v>
      </c>
      <c r="C163" s="5" t="s">
        <v>103</v>
      </c>
      <c r="D163" s="5" t="s">
        <v>1923</v>
      </c>
      <c r="E163" s="2" t="s">
        <v>18</v>
      </c>
      <c r="F163" s="2" t="s">
        <v>127</v>
      </c>
      <c r="R163" s="5" t="s">
        <v>1882</v>
      </c>
    </row>
    <row r="165" spans="1:18" x14ac:dyDescent="0.25">
      <c r="A165" s="58" t="s">
        <v>105</v>
      </c>
      <c r="B165" s="58"/>
      <c r="C165" s="58"/>
      <c r="D165" s="58"/>
      <c r="E165" s="58"/>
      <c r="F165" s="58"/>
      <c r="G165" s="58"/>
      <c r="H165" s="58"/>
      <c r="I165" s="58"/>
      <c r="J165" s="58"/>
      <c r="K165" s="58"/>
      <c r="L165" s="58"/>
      <c r="M165" s="58"/>
      <c r="N165" s="58"/>
      <c r="O165" s="58"/>
      <c r="P165" s="58"/>
      <c r="Q165" s="58"/>
      <c r="R165" s="58"/>
    </row>
    <row r="167" spans="1:18" x14ac:dyDescent="0.25">
      <c r="A167" s="6" t="s">
        <v>120</v>
      </c>
      <c r="B167" s="6" t="s">
        <v>121</v>
      </c>
      <c r="C167" s="7" t="s">
        <v>122</v>
      </c>
      <c r="D167" s="7" t="s">
        <v>123</v>
      </c>
      <c r="E167" s="6" t="s">
        <v>8</v>
      </c>
      <c r="F167" s="6" t="s">
        <v>124</v>
      </c>
      <c r="G167" s="6" t="s">
        <v>154</v>
      </c>
      <c r="H167" s="6" t="s">
        <v>155</v>
      </c>
      <c r="I167" s="6" t="s">
        <v>156</v>
      </c>
      <c r="J167" s="6" t="s">
        <v>157</v>
      </c>
      <c r="K167" s="6" t="s">
        <v>158</v>
      </c>
      <c r="L167" s="6" t="s">
        <v>159</v>
      </c>
      <c r="M167" s="6" t="s">
        <v>160</v>
      </c>
      <c r="N167" s="6" t="s">
        <v>161</v>
      </c>
      <c r="O167" s="6" t="s">
        <v>162</v>
      </c>
      <c r="P167" s="6" t="s">
        <v>163</v>
      </c>
      <c r="Q167" s="7" t="s">
        <v>164</v>
      </c>
      <c r="R167" s="7" t="s">
        <v>125</v>
      </c>
    </row>
    <row r="168" spans="1:18" ht="32.25" customHeight="1" x14ac:dyDescent="0.25">
      <c r="A168" s="2" t="str">
        <f>"SUR"&amp;TEXT(Table89[[#This Row],[Count]],"000")&amp;"."&amp;IF(Table89[[#This Row],[Category]]="Essential","E",IF(Table89[[#This Row],[Category]]="Discretionary","D","O"))</f>
        <v>SUR139.E</v>
      </c>
      <c r="B168" s="2">
        <f>MAX(Table88[Count])+ROWS(INDEX(Table89[Count],1):Table89[[#This Row],[Count]])</f>
        <v>139</v>
      </c>
      <c r="C168" s="5" t="s">
        <v>105</v>
      </c>
      <c r="D168" s="5" t="s">
        <v>1924</v>
      </c>
      <c r="E168" s="2" t="s">
        <v>13</v>
      </c>
      <c r="K168" s="2" t="s">
        <v>127</v>
      </c>
      <c r="L168" s="2" t="s">
        <v>127</v>
      </c>
      <c r="M168" s="2" t="s">
        <v>127</v>
      </c>
      <c r="N168" s="2" t="s">
        <v>127</v>
      </c>
      <c r="O168" s="2" t="s">
        <v>127</v>
      </c>
      <c r="P168" s="2" t="s">
        <v>127</v>
      </c>
    </row>
    <row r="169" spans="1:18" x14ac:dyDescent="0.25">
      <c r="A169" s="2" t="str">
        <f>"SUR"&amp;TEXT(Table89[[#This Row],[Count]],"000")&amp;"."&amp;IF(Table89[[#This Row],[Category]]="Essential","E",IF(Table89[[#This Row],[Category]]="Discretionary","D","O"))</f>
        <v>SUR140.E</v>
      </c>
      <c r="B169" s="2">
        <f>MAX(Table88[Count])+ROWS(INDEX(Table89[Count],1):Table89[[#This Row],[Count]])</f>
        <v>140</v>
      </c>
      <c r="C169" s="5" t="s">
        <v>105</v>
      </c>
      <c r="D169" s="5" t="s">
        <v>1925</v>
      </c>
      <c r="E169" s="2" t="s">
        <v>13</v>
      </c>
      <c r="K169" s="2" t="s">
        <v>127</v>
      </c>
      <c r="L169" s="2" t="s">
        <v>127</v>
      </c>
      <c r="M169" s="2" t="s">
        <v>127</v>
      </c>
      <c r="N169" s="2" t="s">
        <v>127</v>
      </c>
      <c r="O169" s="2" t="s">
        <v>127</v>
      </c>
      <c r="P169" s="2" t="s">
        <v>127</v>
      </c>
      <c r="Q169" s="5" t="s">
        <v>127</v>
      </c>
    </row>
    <row r="170" spans="1:18" ht="45" x14ac:dyDescent="0.25">
      <c r="A170" s="2" t="str">
        <f>"SUR"&amp;TEXT(Table89[[#This Row],[Count]],"000")&amp;"."&amp;IF(Table89[[#This Row],[Category]]="Essential","E",IF(Table89[[#This Row],[Category]]="Discretionary","D","O"))</f>
        <v>SUR141.E</v>
      </c>
      <c r="B170" s="2">
        <f>MAX(Table88[Count])+ROWS(INDEX(Table89[Count],1):Table89[[#This Row],[Count]])</f>
        <v>141</v>
      </c>
      <c r="C170" s="5" t="s">
        <v>105</v>
      </c>
      <c r="D170" s="5" t="s">
        <v>1926</v>
      </c>
      <c r="E170" s="2" t="s">
        <v>13</v>
      </c>
      <c r="F170" s="2" t="s">
        <v>127</v>
      </c>
      <c r="R170" s="5" t="s">
        <v>1927</v>
      </c>
    </row>
    <row r="171" spans="1:18" ht="30" x14ac:dyDescent="0.25">
      <c r="A171" s="2" t="str">
        <f>"SUR"&amp;TEXT(Table89[[#This Row],[Count]],"000")&amp;"."&amp;IF(Table89[[#This Row],[Category]]="Essential","E",IF(Table89[[#This Row],[Category]]="Discretionary","D","O"))</f>
        <v>SUR142.E</v>
      </c>
      <c r="B171" s="2">
        <f>MAX(Table88[Count])+ROWS(INDEX(Table89[Count],1):Table89[[#This Row],[Count]])</f>
        <v>142</v>
      </c>
      <c r="C171" s="5" t="s">
        <v>105</v>
      </c>
      <c r="D171" s="5" t="s">
        <v>1928</v>
      </c>
      <c r="E171" s="2" t="s">
        <v>13</v>
      </c>
      <c r="L171" s="2" t="s">
        <v>127</v>
      </c>
      <c r="M171" s="2" t="s">
        <v>127</v>
      </c>
      <c r="N171" s="2" t="s">
        <v>127</v>
      </c>
      <c r="O171" s="2" t="s">
        <v>127</v>
      </c>
      <c r="P171" s="2" t="s">
        <v>127</v>
      </c>
      <c r="Q171" s="5" t="s">
        <v>127</v>
      </c>
    </row>
    <row r="172" spans="1:18" ht="60" customHeight="1" x14ac:dyDescent="0.25">
      <c r="A172" s="2" t="str">
        <f>"SUR"&amp;TEXT(Table89[[#This Row],[Count]],"000")&amp;"."&amp;IF(Table89[[#This Row],[Category]]="Essential","E",IF(Table89[[#This Row],[Category]]="Discretionary","D","O"))</f>
        <v>SUR143.E</v>
      </c>
      <c r="B172" s="2">
        <f>MAX(Table88[Count])+ROWS(INDEX(Table89[Count],1):Table89[[#This Row],[Count]])</f>
        <v>143</v>
      </c>
      <c r="C172" s="5" t="s">
        <v>105</v>
      </c>
      <c r="D172" s="5" t="s">
        <v>1929</v>
      </c>
      <c r="E172" s="2" t="s">
        <v>13</v>
      </c>
      <c r="K172" s="2" t="s">
        <v>127</v>
      </c>
      <c r="L172" s="2" t="s">
        <v>127</v>
      </c>
      <c r="M172" s="2" t="s">
        <v>127</v>
      </c>
      <c r="N172" s="2" t="s">
        <v>127</v>
      </c>
      <c r="O172" s="2" t="s">
        <v>127</v>
      </c>
      <c r="P172" s="2" t="s">
        <v>127</v>
      </c>
    </row>
    <row r="173" spans="1:18" ht="30" x14ac:dyDescent="0.25">
      <c r="A173" s="2" t="str">
        <f>"SUR"&amp;TEXT(Table89[[#This Row],[Count]],"000")&amp;"."&amp;IF(Table89[[#This Row],[Category]]="Essential","E",IF(Table89[[#This Row],[Category]]="Discretionary","D","O"))</f>
        <v>SUR144.E</v>
      </c>
      <c r="B173" s="2">
        <f>MAX(Table88[Count])+ROWS(INDEX(Table89[Count],1):Table89[[#This Row],[Count]])</f>
        <v>144</v>
      </c>
      <c r="C173" s="5" t="s">
        <v>105</v>
      </c>
      <c r="D173" s="5" t="s">
        <v>1930</v>
      </c>
      <c r="E173" s="2" t="s">
        <v>13</v>
      </c>
      <c r="M173" s="2" t="s">
        <v>127</v>
      </c>
      <c r="N173" s="2" t="s">
        <v>127</v>
      </c>
      <c r="O173" s="2" t="s">
        <v>127</v>
      </c>
      <c r="P173" s="2" t="s">
        <v>127</v>
      </c>
      <c r="Q173" s="5" t="s">
        <v>127</v>
      </c>
    </row>
    <row r="174" spans="1:18" ht="30" x14ac:dyDescent="0.25">
      <c r="A174" s="2" t="str">
        <f>"SUR"&amp;TEXT(Table89[[#This Row],[Count]],"000")&amp;"."&amp;IF(Table89[[#This Row],[Category]]="Essential","E",IF(Table89[[#This Row],[Category]]="Discretionary","D","O"))</f>
        <v>SUR145.E</v>
      </c>
      <c r="B174" s="2">
        <f>MAX(Table88[Count])+ROWS(INDEX(Table89[Count],1):Table89[[#This Row],[Count]])</f>
        <v>145</v>
      </c>
      <c r="C174" s="5" t="s">
        <v>105</v>
      </c>
      <c r="D174" s="5" t="s">
        <v>1931</v>
      </c>
      <c r="E174" s="2" t="s">
        <v>13</v>
      </c>
      <c r="N174" s="2" t="s">
        <v>127</v>
      </c>
      <c r="O174" s="2" t="s">
        <v>127</v>
      </c>
      <c r="P174" s="2" t="s">
        <v>127</v>
      </c>
      <c r="Q174" s="5" t="s">
        <v>127</v>
      </c>
    </row>
    <row r="175" spans="1:18" x14ac:dyDescent="0.25">
      <c r="A175" s="2" t="str">
        <f>"SUR"&amp;TEXT(Table89[[#This Row],[Count]],"000")&amp;"."&amp;IF(Table89[[#This Row],[Category]]="Essential","E",IF(Table89[[#This Row],[Category]]="Discretionary","D","O"))</f>
        <v>SUR146.E</v>
      </c>
      <c r="B175" s="2">
        <f>MAX(Table88[Count])+ROWS(INDEX(Table89[Count],1):Table89[[#This Row],[Count]])</f>
        <v>146</v>
      </c>
      <c r="C175" s="5" t="s">
        <v>105</v>
      </c>
      <c r="D175" s="5" t="s">
        <v>1932</v>
      </c>
      <c r="E175" s="2" t="s">
        <v>13</v>
      </c>
      <c r="N175" s="2" t="s">
        <v>127</v>
      </c>
      <c r="O175" s="2" t="s">
        <v>127</v>
      </c>
      <c r="P175" s="2" t="s">
        <v>127</v>
      </c>
      <c r="Q175" s="5" t="s">
        <v>127</v>
      </c>
    </row>
    <row r="176" spans="1:18" ht="105" x14ac:dyDescent="0.25">
      <c r="A176" s="2" t="str">
        <f>"SUR"&amp;TEXT(Table89[[#This Row],[Count]],"000")&amp;"."&amp;IF(Table89[[#This Row],[Category]]="Essential","E",IF(Table89[[#This Row],[Category]]="Discretionary","D","O"))</f>
        <v>SUR147.O</v>
      </c>
      <c r="B176" s="2">
        <f>MAX(Table88[Count])+ROWS(INDEX(Table89[Count],1):Table89[[#This Row],[Count]])</f>
        <v>147</v>
      </c>
      <c r="C176" s="5" t="s">
        <v>105</v>
      </c>
      <c r="D176" s="5" t="s">
        <v>1933</v>
      </c>
      <c r="E176" s="2" t="s">
        <v>23</v>
      </c>
      <c r="K176" s="2" t="s">
        <v>127</v>
      </c>
      <c r="L176" s="2" t="s">
        <v>127</v>
      </c>
      <c r="M176" s="2" t="s">
        <v>127</v>
      </c>
      <c r="N176" s="2" t="s">
        <v>127</v>
      </c>
      <c r="O176" s="2" t="s">
        <v>127</v>
      </c>
      <c r="P176" s="2" t="s">
        <v>127</v>
      </c>
      <c r="R176" s="5" t="s">
        <v>880</v>
      </c>
    </row>
    <row r="177" spans="1:18" x14ac:dyDescent="0.25">
      <c r="A177" s="2" t="str">
        <f>"SUR"&amp;TEXT(Table89[[#This Row],[Count]],"000")&amp;"."&amp;IF(Table89[[#This Row],[Category]]="Essential","E",IF(Table89[[#This Row],[Category]]="Discretionary","D","O"))</f>
        <v>SUR148.E</v>
      </c>
      <c r="B177" s="2">
        <f>MAX(Table88[Count])+ROWS(INDEX(Table89[Count],1):Table89[[#This Row],[Count]])</f>
        <v>148</v>
      </c>
      <c r="C177" s="5" t="s">
        <v>105</v>
      </c>
      <c r="D177" s="5" t="s">
        <v>1934</v>
      </c>
      <c r="E177" s="2" t="s">
        <v>13</v>
      </c>
      <c r="M177" s="2" t="s">
        <v>127</v>
      </c>
      <c r="N177" s="2" t="s">
        <v>127</v>
      </c>
      <c r="O177" s="2" t="s">
        <v>127</v>
      </c>
      <c r="P177" s="2" t="s">
        <v>127</v>
      </c>
    </row>
    <row r="178" spans="1:18" ht="45" x14ac:dyDescent="0.25">
      <c r="A178" s="2" t="str">
        <f>"SUR"&amp;TEXT(Table89[[#This Row],[Count]],"000")&amp;"."&amp;IF(Table89[[#This Row],[Category]]="Essential","E",IF(Table89[[#This Row],[Category]]="Discretionary","D","O"))</f>
        <v>SUR149.O</v>
      </c>
      <c r="B178" s="2">
        <f>MAX(Table88[Count])+ROWS(INDEX(Table89[Count],1):Table89[[#This Row],[Count]])</f>
        <v>149</v>
      </c>
      <c r="C178" s="5" t="s">
        <v>105</v>
      </c>
      <c r="D178" s="5" t="s">
        <v>1935</v>
      </c>
      <c r="E178" s="2" t="s">
        <v>23</v>
      </c>
      <c r="L178" s="2" t="s">
        <v>675</v>
      </c>
      <c r="M178" s="2" t="s">
        <v>675</v>
      </c>
      <c r="R178" s="5" t="s">
        <v>1162</v>
      </c>
    </row>
    <row r="179" spans="1:18" x14ac:dyDescent="0.25">
      <c r="A179" s="2" t="str">
        <f>"SUR"&amp;TEXT(Table89[[#This Row],[Count]],"000")&amp;"."&amp;IF(Table89[[#This Row],[Category]]="Essential","E",IF(Table89[[#This Row],[Category]]="Discretionary","D","O"))</f>
        <v>SUR150.E</v>
      </c>
      <c r="B179" s="2">
        <f>MAX(Table88[Count])+ROWS(INDEX(Table89[Count],1):Table89[[#This Row],[Count]])</f>
        <v>150</v>
      </c>
      <c r="C179" s="5" t="s">
        <v>105</v>
      </c>
      <c r="D179" s="5" t="s">
        <v>1936</v>
      </c>
      <c r="E179" s="2" t="s">
        <v>13</v>
      </c>
      <c r="K179" s="2" t="s">
        <v>127</v>
      </c>
      <c r="L179" s="2" t="s">
        <v>127</v>
      </c>
      <c r="M179" s="2" t="s">
        <v>127</v>
      </c>
      <c r="N179" s="2" t="s">
        <v>127</v>
      </c>
      <c r="O179" s="2" t="s">
        <v>127</v>
      </c>
      <c r="P179" s="2" t="s">
        <v>127</v>
      </c>
    </row>
    <row r="181" spans="1:18" x14ac:dyDescent="0.25">
      <c r="A181" s="58" t="s">
        <v>106</v>
      </c>
      <c r="B181" s="58"/>
      <c r="C181" s="58"/>
      <c r="D181" s="58"/>
      <c r="E181" s="58"/>
      <c r="F181" s="58"/>
      <c r="G181" s="58"/>
      <c r="H181" s="58"/>
      <c r="I181" s="58"/>
      <c r="J181" s="58"/>
      <c r="K181" s="58"/>
      <c r="L181" s="58"/>
      <c r="M181" s="58"/>
      <c r="N181" s="58"/>
      <c r="O181" s="58"/>
      <c r="P181" s="58"/>
      <c r="Q181" s="58"/>
      <c r="R181" s="58"/>
    </row>
    <row r="183" spans="1:18" x14ac:dyDescent="0.25">
      <c r="A183" s="6" t="s">
        <v>120</v>
      </c>
      <c r="B183" s="6" t="s">
        <v>121</v>
      </c>
      <c r="C183" s="7" t="s">
        <v>122</v>
      </c>
      <c r="D183" s="7" t="s">
        <v>123</v>
      </c>
      <c r="E183" s="6" t="s">
        <v>8</v>
      </c>
      <c r="F183" s="6" t="s">
        <v>124</v>
      </c>
      <c r="G183" s="6" t="s">
        <v>154</v>
      </c>
      <c r="H183" s="6" t="s">
        <v>155</v>
      </c>
      <c r="I183" s="6" t="s">
        <v>156</v>
      </c>
      <c r="J183" s="6" t="s">
        <v>157</v>
      </c>
      <c r="K183" s="6" t="s">
        <v>158</v>
      </c>
      <c r="L183" s="6" t="s">
        <v>159</v>
      </c>
      <c r="M183" s="6" t="s">
        <v>160</v>
      </c>
      <c r="N183" s="6" t="s">
        <v>161</v>
      </c>
      <c r="O183" s="6" t="s">
        <v>162</v>
      </c>
      <c r="P183" s="6" t="s">
        <v>163</v>
      </c>
      <c r="Q183" s="7" t="s">
        <v>164</v>
      </c>
      <c r="R183" s="7" t="s">
        <v>125</v>
      </c>
    </row>
    <row r="184" spans="1:18" ht="45" x14ac:dyDescent="0.25">
      <c r="A184" s="2" t="str">
        <f>"SUR"&amp;TEXT(Table90[[#This Row],[Count]],"000")&amp;"."&amp;IF(Table90[[#This Row],[Category]]="Essential","E",IF(Table90[[#This Row],[Category]]="Discretionary","D","O"))</f>
        <v>SUR151.D</v>
      </c>
      <c r="B184" s="2">
        <f>MAX(Table89[Count])+ROWS(INDEX(Table90[Count],1):Table90[[#This Row],[Count]])</f>
        <v>151</v>
      </c>
      <c r="C184" s="5" t="s">
        <v>106</v>
      </c>
      <c r="D184" s="5" t="s">
        <v>1937</v>
      </c>
      <c r="E184" s="2" t="s">
        <v>18</v>
      </c>
      <c r="F184" s="2" t="s">
        <v>127</v>
      </c>
    </row>
    <row r="185" spans="1:18" ht="30" x14ac:dyDescent="0.25">
      <c r="A185" s="2" t="str">
        <f>"SUR"&amp;TEXT(Table90[[#This Row],[Count]],"000")&amp;"."&amp;IF(Table90[[#This Row],[Category]]="Essential","E",IF(Table90[[#This Row],[Category]]="Discretionary","D","O"))</f>
        <v>SUR152.D</v>
      </c>
      <c r="B185" s="2">
        <f>MAX(Table89[Count])+ROWS(INDEX(Table90[Count],1):Table90[[#This Row],[Count]])</f>
        <v>152</v>
      </c>
      <c r="C185" s="5" t="s">
        <v>106</v>
      </c>
      <c r="D185" s="5" t="s">
        <v>1938</v>
      </c>
      <c r="E185" s="2" t="s">
        <v>18</v>
      </c>
      <c r="F185" s="2" t="s">
        <v>127</v>
      </c>
      <c r="R185" s="5" t="s">
        <v>1791</v>
      </c>
    </row>
    <row r="186" spans="1:18" ht="45" x14ac:dyDescent="0.25">
      <c r="A186" s="2" t="str">
        <f>"SUR"&amp;TEXT(Table90[[#This Row],[Count]],"000")&amp;"."&amp;IF(Table90[[#This Row],[Category]]="Essential","E",IF(Table90[[#This Row],[Category]]="Discretionary","D","O"))</f>
        <v>SUR153.D</v>
      </c>
      <c r="B186" s="2">
        <f>MAX(Table89[Count])+ROWS(INDEX(Table90[Count],1):Table90[[#This Row],[Count]])</f>
        <v>153</v>
      </c>
      <c r="C186" s="5" t="s">
        <v>106</v>
      </c>
      <c r="D186" s="5" t="s">
        <v>1939</v>
      </c>
      <c r="E186" s="2" t="s">
        <v>18</v>
      </c>
      <c r="F186" s="2" t="s">
        <v>127</v>
      </c>
    </row>
    <row r="187" spans="1:18" x14ac:dyDescent="0.25">
      <c r="A187" s="2" t="str">
        <f>"SUR"&amp;TEXT(Table90[[#This Row],[Count]],"000")&amp;"."&amp;IF(Table90[[#This Row],[Category]]="Essential","E",IF(Table90[[#This Row],[Category]]="Discretionary","D","O"))</f>
        <v>SUR154.D</v>
      </c>
      <c r="B187" s="2">
        <f>MAX(Table89[Count])+ROWS(INDEX(Table90[Count],1):Table90[[#This Row],[Count]])</f>
        <v>154</v>
      </c>
      <c r="C187" s="5" t="s">
        <v>106</v>
      </c>
      <c r="D187" s="5" t="s">
        <v>1940</v>
      </c>
      <c r="E187" s="2" t="s">
        <v>18</v>
      </c>
      <c r="I187" s="2" t="s">
        <v>127</v>
      </c>
    </row>
    <row r="188" spans="1:18" ht="30" x14ac:dyDescent="0.25">
      <c r="A188" s="2" t="str">
        <f>"SUR"&amp;TEXT(Table90[[#This Row],[Count]],"000")&amp;"."&amp;IF(Table90[[#This Row],[Category]]="Essential","E",IF(Table90[[#This Row],[Category]]="Discretionary","D","O"))</f>
        <v>SUR155.D</v>
      </c>
      <c r="B188" s="2">
        <f>MAX(Table89[Count])+ROWS(INDEX(Table90[Count],1):Table90[[#This Row],[Count]])</f>
        <v>155</v>
      </c>
      <c r="C188" s="5" t="s">
        <v>106</v>
      </c>
      <c r="D188" s="5" t="s">
        <v>1941</v>
      </c>
      <c r="E188" s="2" t="s">
        <v>18</v>
      </c>
      <c r="O188" s="2" t="s">
        <v>127</v>
      </c>
      <c r="P188" s="2" t="s">
        <v>127</v>
      </c>
      <c r="Q188" s="5" t="s">
        <v>127</v>
      </c>
      <c r="R188" s="5" t="s">
        <v>1942</v>
      </c>
    </row>
    <row r="189" spans="1:18" ht="45" x14ac:dyDescent="0.25">
      <c r="A189" s="2" t="str">
        <f>"SUR"&amp;TEXT(Table90[[#This Row],[Count]],"000")&amp;"."&amp;IF(Table90[[#This Row],[Category]]="Essential","E",IF(Table90[[#This Row],[Category]]="Discretionary","D","O"))</f>
        <v>SUR156.D</v>
      </c>
      <c r="B189" s="2">
        <f>MAX(Table89[Count])+ROWS(INDEX(Table90[Count],1):Table90[[#This Row],[Count]])</f>
        <v>156</v>
      </c>
      <c r="C189" s="5" t="s">
        <v>106</v>
      </c>
      <c r="D189" s="5" t="s">
        <v>1943</v>
      </c>
      <c r="E189" s="2" t="s">
        <v>18</v>
      </c>
      <c r="O189" s="2" t="s">
        <v>127</v>
      </c>
      <c r="P189" s="2" t="s">
        <v>127</v>
      </c>
      <c r="Q189" s="5" t="s">
        <v>127</v>
      </c>
    </row>
    <row r="190" spans="1:18" ht="30" x14ac:dyDescent="0.25">
      <c r="A190" s="2" t="str">
        <f>"SUR"&amp;TEXT(Table90[[#This Row],[Count]],"000")&amp;"."&amp;IF(Table90[[#This Row],[Category]]="Essential","E",IF(Table90[[#This Row],[Category]]="Discretionary","D","O"))</f>
        <v>SUR157.D</v>
      </c>
      <c r="B190" s="2">
        <f>MAX(Table89[Count])+ROWS(INDEX(Table90[Count],1):Table90[[#This Row],[Count]])</f>
        <v>157</v>
      </c>
      <c r="C190" s="5" t="s">
        <v>106</v>
      </c>
      <c r="D190" s="5" t="s">
        <v>1944</v>
      </c>
      <c r="E190" s="2" t="s">
        <v>18</v>
      </c>
      <c r="L190" s="2" t="s">
        <v>127</v>
      </c>
      <c r="M190" s="2" t="s">
        <v>127</v>
      </c>
      <c r="N190" s="2" t="s">
        <v>127</v>
      </c>
      <c r="O190" s="2" t="s">
        <v>127</v>
      </c>
      <c r="P190" s="2" t="s">
        <v>127</v>
      </c>
      <c r="Q190" s="5" t="s">
        <v>127</v>
      </c>
      <c r="R190" s="5" t="s">
        <v>1945</v>
      </c>
    </row>
    <row r="191" spans="1:18" ht="45" x14ac:dyDescent="0.25">
      <c r="A191" s="2" t="str">
        <f>"SUR"&amp;TEXT(Table90[[#This Row],[Count]],"000")&amp;"."&amp;IF(Table90[[#This Row],[Category]]="Essential","E",IF(Table90[[#This Row],[Category]]="Discretionary","D","O"))</f>
        <v>SUR158.D</v>
      </c>
      <c r="B191" s="2">
        <f>MAX(Table89[Count])+ROWS(INDEX(Table90[Count],1):Table90[[#This Row],[Count]])</f>
        <v>158</v>
      </c>
      <c r="C191" s="5" t="s">
        <v>106</v>
      </c>
      <c r="D191" s="5" t="s">
        <v>1946</v>
      </c>
      <c r="E191" s="2" t="s">
        <v>18</v>
      </c>
      <c r="L191" s="2" t="s">
        <v>127</v>
      </c>
      <c r="M191" s="2" t="s">
        <v>127</v>
      </c>
      <c r="N191" s="2" t="s">
        <v>127</v>
      </c>
      <c r="O191" s="2" t="s">
        <v>127</v>
      </c>
    </row>
    <row r="192" spans="1:18" ht="30" x14ac:dyDescent="0.25">
      <c r="A192" s="2" t="str">
        <f>"SUR"&amp;TEXT(Table90[[#This Row],[Count]],"000")&amp;"."&amp;IF(Table90[[#This Row],[Category]]="Essential","E",IF(Table90[[#This Row],[Category]]="Discretionary","D","O"))</f>
        <v>SUR159.D</v>
      </c>
      <c r="B192" s="2">
        <f>MAX(Table89[Count])+ROWS(INDEX(Table90[Count],1):Table90[[#This Row],[Count]])</f>
        <v>159</v>
      </c>
      <c r="C192" s="5" t="s">
        <v>106</v>
      </c>
      <c r="D192" s="5" t="s">
        <v>1947</v>
      </c>
      <c r="E192" s="2" t="s">
        <v>18</v>
      </c>
      <c r="F192" s="2" t="s">
        <v>127</v>
      </c>
      <c r="R192" s="5" t="s">
        <v>1942</v>
      </c>
    </row>
    <row r="193" spans="1:18" ht="30" x14ac:dyDescent="0.25">
      <c r="A193" s="2" t="str">
        <f>"SUR"&amp;TEXT(Table90[[#This Row],[Count]],"000")&amp;"."&amp;IF(Table90[[#This Row],[Category]]="Essential","E",IF(Table90[[#This Row],[Category]]="Discretionary","D","O"))</f>
        <v>SUR160.D</v>
      </c>
      <c r="B193" s="2">
        <f>MAX(Table89[Count])+ROWS(INDEX(Table90[Count],1):Table90[[#This Row],[Count]])</f>
        <v>160</v>
      </c>
      <c r="C193" s="5" t="s">
        <v>106</v>
      </c>
      <c r="D193" s="5" t="s">
        <v>1948</v>
      </c>
      <c r="E193" s="2" t="s">
        <v>18</v>
      </c>
      <c r="F193" s="2" t="s">
        <v>127</v>
      </c>
      <c r="R193" s="5" t="s">
        <v>1942</v>
      </c>
    </row>
    <row r="194" spans="1:18" x14ac:dyDescent="0.25">
      <c r="A194" s="2" t="str">
        <f>"SUR"&amp;TEXT(Table90[[#This Row],[Count]],"000")&amp;"."&amp;IF(Table90[[#This Row],[Category]]="Essential","E",IF(Table90[[#This Row],[Category]]="Discretionary","D","O"))</f>
        <v>SUR161.D</v>
      </c>
      <c r="B194" s="2">
        <f>MAX(Table89[Count])+ROWS(INDEX(Table90[Count],1):Table90[[#This Row],[Count]])</f>
        <v>161</v>
      </c>
      <c r="C194" s="5" t="s">
        <v>106</v>
      </c>
      <c r="D194" s="5" t="s">
        <v>1949</v>
      </c>
      <c r="E194" s="2" t="s">
        <v>18</v>
      </c>
      <c r="F194" s="2" t="s">
        <v>127</v>
      </c>
    </row>
    <row r="195" spans="1:18" x14ac:dyDescent="0.25">
      <c r="A195" s="2" t="str">
        <f>"SUR"&amp;TEXT(Table90[[#This Row],[Count]],"000")&amp;"."&amp;IF(Table90[[#This Row],[Category]]="Essential","E",IF(Table90[[#This Row],[Category]]="Discretionary","D","O"))</f>
        <v>SUR162.D</v>
      </c>
      <c r="B195" s="2">
        <f>MAX(Table89[Count])+ROWS(INDEX(Table90[Count],1):Table90[[#This Row],[Count]])</f>
        <v>162</v>
      </c>
      <c r="C195" s="5" t="s">
        <v>106</v>
      </c>
      <c r="D195" s="5" t="s">
        <v>1950</v>
      </c>
      <c r="E195" s="2" t="s">
        <v>18</v>
      </c>
      <c r="F195" s="2" t="s">
        <v>127</v>
      </c>
    </row>
    <row r="196" spans="1:18" ht="30" x14ac:dyDescent="0.25">
      <c r="A196" s="2" t="str">
        <f>"SUR"&amp;TEXT(Table90[[#This Row],[Count]],"000")&amp;"."&amp;IF(Table90[[#This Row],[Category]]="Essential","E",IF(Table90[[#This Row],[Category]]="Discretionary","D","O"))</f>
        <v>SUR163.D</v>
      </c>
      <c r="B196" s="2">
        <f>MAX(Table89[Count])+ROWS(INDEX(Table90[Count],1):Table90[[#This Row],[Count]])</f>
        <v>163</v>
      </c>
      <c r="C196" s="5" t="s">
        <v>106</v>
      </c>
      <c r="D196" s="5" t="s">
        <v>1379</v>
      </c>
      <c r="E196" s="2" t="s">
        <v>18</v>
      </c>
      <c r="F196" s="2" t="s">
        <v>127</v>
      </c>
    </row>
    <row r="197" spans="1:18" x14ac:dyDescent="0.25">
      <c r="A197" s="2" t="str">
        <f>"SUR"&amp;TEXT(Table90[[#This Row],[Count]],"000")&amp;"."&amp;IF(Table90[[#This Row],[Category]]="Essential","E",IF(Table90[[#This Row],[Category]]="Discretionary","D","O"))</f>
        <v>SUR164.D</v>
      </c>
      <c r="B197" s="2">
        <f>MAX(Table89[Count])+ROWS(INDEX(Table90[Count],1):Table90[[#This Row],[Count]])</f>
        <v>164</v>
      </c>
      <c r="C197" s="5" t="s">
        <v>106</v>
      </c>
      <c r="D197" s="5" t="s">
        <v>1951</v>
      </c>
      <c r="E197" s="2" t="s">
        <v>18</v>
      </c>
      <c r="P197" s="2" t="s">
        <v>127</v>
      </c>
      <c r="Q197" s="5" t="s">
        <v>127</v>
      </c>
    </row>
    <row r="198" spans="1:18" ht="30" x14ac:dyDescent="0.25">
      <c r="A198" s="2" t="str">
        <f>"SUR"&amp;TEXT(Table90[[#This Row],[Count]],"000")&amp;"."&amp;IF(Table90[[#This Row],[Category]]="Essential","E",IF(Table90[[#This Row],[Category]]="Discretionary","D","O"))</f>
        <v>SUR165.D</v>
      </c>
      <c r="B198" s="2">
        <f>MAX(Table89[Count])+ROWS(INDEX(Table90[Count],1):Table90[[#This Row],[Count]])</f>
        <v>165</v>
      </c>
      <c r="C198" s="5" t="s">
        <v>106</v>
      </c>
      <c r="D198" s="5" t="s">
        <v>1952</v>
      </c>
      <c r="E198" s="2" t="s">
        <v>18</v>
      </c>
      <c r="F198" s="2" t="s">
        <v>127</v>
      </c>
    </row>
    <row r="199" spans="1:18" x14ac:dyDescent="0.25">
      <c r="A199" s="2" t="str">
        <f>"SUR"&amp;TEXT(Table90[[#This Row],[Count]],"000")&amp;"."&amp;IF(Table90[[#This Row],[Category]]="Essential","E",IF(Table90[[#This Row],[Category]]="Discretionary","D","O"))</f>
        <v>SUR166.D</v>
      </c>
      <c r="B199" s="2">
        <f>MAX(Table89[Count])+ROWS(INDEX(Table90[Count],1):Table90[[#This Row],[Count]])</f>
        <v>166</v>
      </c>
      <c r="C199" s="5" t="s">
        <v>106</v>
      </c>
      <c r="D199" s="5" t="s">
        <v>1953</v>
      </c>
      <c r="E199" s="2" t="s">
        <v>18</v>
      </c>
      <c r="L199" s="2" t="s">
        <v>127</v>
      </c>
      <c r="M199" s="2" t="s">
        <v>127</v>
      </c>
      <c r="N199" s="2" t="s">
        <v>127</v>
      </c>
      <c r="O199" s="2" t="s">
        <v>127</v>
      </c>
    </row>
    <row r="200" spans="1:18" x14ac:dyDescent="0.25">
      <c r="A200" s="2" t="str">
        <f>"SUR"&amp;TEXT(Table90[[#This Row],[Count]],"000")&amp;"."&amp;IF(Table90[[#This Row],[Category]]="Essential","E",IF(Table90[[#This Row],[Category]]="Discretionary","D","O"))</f>
        <v>SUR167.D</v>
      </c>
      <c r="B200" s="2">
        <f>MAX(Table89[Count])+ROWS(INDEX(Table90[Count],1):Table90[[#This Row],[Count]])</f>
        <v>167</v>
      </c>
      <c r="C200" s="5" t="s">
        <v>106</v>
      </c>
      <c r="D200" s="5" t="s">
        <v>1954</v>
      </c>
      <c r="E200" s="2" t="s">
        <v>18</v>
      </c>
      <c r="F200" s="2" t="s">
        <v>127</v>
      </c>
    </row>
    <row r="201" spans="1:18" x14ac:dyDescent="0.25">
      <c r="A201" s="2" t="str">
        <f>"SUR"&amp;TEXT(Table90[[#This Row],[Count]],"000")&amp;"."&amp;IF(Table90[[#This Row],[Category]]="Essential","E",IF(Table90[[#This Row],[Category]]="Discretionary","D","O"))</f>
        <v>SUR168.D</v>
      </c>
      <c r="B201" s="2">
        <f>MAX(Table89[Count])+ROWS(INDEX(Table90[Count],1):Table90[[#This Row],[Count]])</f>
        <v>168</v>
      </c>
      <c r="C201" s="5" t="s">
        <v>106</v>
      </c>
      <c r="D201" s="5" t="s">
        <v>1955</v>
      </c>
      <c r="E201" s="2" t="s">
        <v>18</v>
      </c>
      <c r="F201" s="2" t="s">
        <v>127</v>
      </c>
    </row>
    <row r="202" spans="1:18" x14ac:dyDescent="0.25">
      <c r="A202" s="2" t="str">
        <f>"SUR"&amp;TEXT(Table90[[#This Row],[Count]],"000")&amp;"."&amp;IF(Table90[[#This Row],[Category]]="Essential","E",IF(Table90[[#This Row],[Category]]="Discretionary","D","O"))</f>
        <v>SUR169.D</v>
      </c>
      <c r="B202" s="2">
        <f>MAX(Table89[Count])+ROWS(INDEX(Table90[Count],1):Table90[[#This Row],[Count]])</f>
        <v>169</v>
      </c>
      <c r="C202" s="5" t="s">
        <v>106</v>
      </c>
      <c r="D202" s="5" t="s">
        <v>1956</v>
      </c>
      <c r="E202" s="2" t="s">
        <v>18</v>
      </c>
      <c r="F202" s="2" t="s">
        <v>127</v>
      </c>
    </row>
    <row r="203" spans="1:18" x14ac:dyDescent="0.25">
      <c r="A203" s="2" t="str">
        <f>"SUR"&amp;TEXT(Table90[[#This Row],[Count]],"000")&amp;"."&amp;IF(Table90[[#This Row],[Category]]="Essential","E",IF(Table90[[#This Row],[Category]]="Discretionary","D","O"))</f>
        <v>SUR170.D</v>
      </c>
      <c r="B203" s="2">
        <f>MAX(Table89[Count])+ROWS(INDEX(Table90[Count],1):Table90[[#This Row],[Count]])</f>
        <v>170</v>
      </c>
      <c r="C203" s="5" t="s">
        <v>106</v>
      </c>
      <c r="D203" s="5" t="s">
        <v>1957</v>
      </c>
      <c r="E203" s="2" t="s">
        <v>18</v>
      </c>
      <c r="P203" s="2" t="s">
        <v>127</v>
      </c>
      <c r="Q203" s="5" t="s">
        <v>127</v>
      </c>
    </row>
    <row r="204" spans="1:18" ht="30" x14ac:dyDescent="0.25">
      <c r="A204" s="2" t="str">
        <f>"SUR"&amp;TEXT(Table90[[#This Row],[Count]],"000")&amp;"."&amp;IF(Table90[[#This Row],[Category]]="Essential","E",IF(Table90[[#This Row],[Category]]="Discretionary","D","O"))</f>
        <v>SUR171.D</v>
      </c>
      <c r="B204" s="2">
        <f>MAX(Table89[Count])+ROWS(INDEX(Table90[Count],1):Table90[[#This Row],[Count]])</f>
        <v>171</v>
      </c>
      <c r="C204" s="5" t="s">
        <v>106</v>
      </c>
      <c r="D204" s="5" t="s">
        <v>1958</v>
      </c>
      <c r="E204" s="2" t="s">
        <v>18</v>
      </c>
      <c r="L204" s="2" t="s">
        <v>127</v>
      </c>
      <c r="M204" s="2" t="s">
        <v>127</v>
      </c>
      <c r="N204" s="2" t="s">
        <v>127</v>
      </c>
      <c r="O204" s="2" t="s">
        <v>127</v>
      </c>
    </row>
    <row r="205" spans="1:18" x14ac:dyDescent="0.25">
      <c r="A205" s="2" t="str">
        <f>"SUR"&amp;TEXT(Table90[[#This Row],[Count]],"000")&amp;"."&amp;IF(Table90[[#This Row],[Category]]="Essential","E",IF(Table90[[#This Row],[Category]]="Discretionary","D","O"))</f>
        <v>SUR172.D</v>
      </c>
      <c r="B205" s="2">
        <f>MAX(Table89[Count])+ROWS(INDEX(Table90[Count],1):Table90[[#This Row],[Count]])</f>
        <v>172</v>
      </c>
      <c r="C205" s="5" t="s">
        <v>106</v>
      </c>
      <c r="D205" s="5" t="s">
        <v>1959</v>
      </c>
      <c r="E205" s="2" t="s">
        <v>18</v>
      </c>
      <c r="L205" s="2" t="s">
        <v>127</v>
      </c>
      <c r="M205" s="2" t="s">
        <v>127</v>
      </c>
      <c r="N205" s="2" t="s">
        <v>127</v>
      </c>
      <c r="O205" s="2" t="s">
        <v>127</v>
      </c>
      <c r="P205" s="2" t="s">
        <v>127</v>
      </c>
      <c r="Q205" s="5" t="s">
        <v>127</v>
      </c>
    </row>
    <row r="207" spans="1:18" x14ac:dyDescent="0.25">
      <c r="A207" s="58" t="s">
        <v>109</v>
      </c>
      <c r="B207" s="58"/>
      <c r="C207" s="58"/>
      <c r="D207" s="58"/>
      <c r="E207" s="58"/>
      <c r="F207" s="58"/>
      <c r="G207" s="58"/>
      <c r="H207" s="58"/>
      <c r="I207" s="58"/>
      <c r="J207" s="58"/>
      <c r="K207" s="58"/>
      <c r="L207" s="58"/>
      <c r="M207" s="58"/>
      <c r="N207" s="58"/>
      <c r="O207" s="58"/>
      <c r="P207" s="58"/>
      <c r="Q207" s="58"/>
      <c r="R207" s="58"/>
    </row>
    <row r="209" spans="1:18" x14ac:dyDescent="0.25">
      <c r="A209" s="6" t="s">
        <v>120</v>
      </c>
      <c r="B209" s="6" t="s">
        <v>121</v>
      </c>
      <c r="C209" s="7" t="s">
        <v>122</v>
      </c>
      <c r="D209" s="7" t="s">
        <v>123</v>
      </c>
      <c r="E209" s="6" t="s">
        <v>8</v>
      </c>
      <c r="F209" s="6" t="s">
        <v>124</v>
      </c>
      <c r="G209" s="6" t="s">
        <v>154</v>
      </c>
      <c r="H209" s="6" t="s">
        <v>155</v>
      </c>
      <c r="I209" s="6" t="s">
        <v>156</v>
      </c>
      <c r="J209" s="6" t="s">
        <v>157</v>
      </c>
      <c r="K209" s="6" t="s">
        <v>158</v>
      </c>
      <c r="L209" s="6" t="s">
        <v>159</v>
      </c>
      <c r="M209" s="6" t="s">
        <v>160</v>
      </c>
      <c r="N209" s="6" t="s">
        <v>161</v>
      </c>
      <c r="O209" s="6" t="s">
        <v>162</v>
      </c>
      <c r="P209" s="6" t="s">
        <v>163</v>
      </c>
      <c r="Q209" s="7" t="s">
        <v>164</v>
      </c>
      <c r="R209" s="7" t="s">
        <v>125</v>
      </c>
    </row>
    <row r="210" spans="1:18" ht="45" x14ac:dyDescent="0.25">
      <c r="A210" s="2" t="str">
        <f>"SUR"&amp;TEXT(Table91[[#This Row],[Count]],"000")&amp;"."&amp;IF(Table91[[#This Row],[Category]]="Essential","E",IF(Table91[[#This Row],[Category]]="Discretionary","D","O"))</f>
        <v>SUR151.E</v>
      </c>
      <c r="B210" s="2">
        <f>MAX(Table89[Count])+ROWS(INDEX(Table91[Count],1):Table91[[#This Row],[Count]])</f>
        <v>151</v>
      </c>
      <c r="C210" s="5" t="s">
        <v>109</v>
      </c>
      <c r="D210" s="5" t="s">
        <v>1960</v>
      </c>
      <c r="E210" s="2" t="s">
        <v>13</v>
      </c>
      <c r="G210" s="2" t="s">
        <v>1380</v>
      </c>
      <c r="H210" s="2" t="s">
        <v>1380</v>
      </c>
      <c r="L210" s="2" t="s">
        <v>127</v>
      </c>
      <c r="M210" s="2" t="s">
        <v>127</v>
      </c>
      <c r="N210" s="2" t="s">
        <v>127</v>
      </c>
      <c r="O210" s="2" t="s">
        <v>127</v>
      </c>
      <c r="P210" s="2" t="s">
        <v>127</v>
      </c>
      <c r="Q210" s="5" t="s">
        <v>127</v>
      </c>
    </row>
    <row r="211" spans="1:18" ht="30" x14ac:dyDescent="0.25">
      <c r="A211" s="2" t="str">
        <f>"SUR"&amp;TEXT(Table91[[#This Row],[Count]],"000")&amp;"."&amp;IF(Table91[[#This Row],[Category]]="Essential","E",IF(Table91[[#This Row],[Category]]="Discretionary","D","O"))</f>
        <v>SUR152.E</v>
      </c>
      <c r="B211" s="2">
        <f>MAX(Table89[Count])+ROWS(INDEX(Table91[Count],1):Table91[[#This Row],[Count]])</f>
        <v>152</v>
      </c>
      <c r="C211" s="5" t="s">
        <v>109</v>
      </c>
      <c r="D211" s="5" t="s">
        <v>1961</v>
      </c>
      <c r="E211" s="2" t="s">
        <v>13</v>
      </c>
      <c r="F211" s="2" t="s">
        <v>127</v>
      </c>
      <c r="G211" s="2" t="s">
        <v>1380</v>
      </c>
      <c r="H211" s="2" t="s">
        <v>1380</v>
      </c>
      <c r="L211" s="2" t="s">
        <v>1380</v>
      </c>
      <c r="M211" s="2" t="s">
        <v>1380</v>
      </c>
      <c r="N211" s="2" t="s">
        <v>1380</v>
      </c>
      <c r="O211" s="2" t="s">
        <v>1380</v>
      </c>
      <c r="P211" s="2" t="s">
        <v>1380</v>
      </c>
      <c r="Q211" s="5" t="s">
        <v>1380</v>
      </c>
    </row>
    <row r="212" spans="1:18" ht="30" x14ac:dyDescent="0.25">
      <c r="A212" s="2" t="str">
        <f>"SUR"&amp;TEXT(Table91[[#This Row],[Count]],"000")&amp;"."&amp;IF(Table91[[#This Row],[Category]]="Essential","E",IF(Table91[[#This Row],[Category]]="Discretionary","D","O"))</f>
        <v>SUR153.E</v>
      </c>
      <c r="B212" s="2">
        <f>MAX(Table89[Count])+ROWS(INDEX(Table91[Count],1):Table91[[#This Row],[Count]])</f>
        <v>153</v>
      </c>
      <c r="C212" s="5" t="s">
        <v>109</v>
      </c>
      <c r="D212" s="5" t="s">
        <v>1962</v>
      </c>
      <c r="E212" s="2" t="s">
        <v>13</v>
      </c>
      <c r="F212" s="2" t="s">
        <v>127</v>
      </c>
      <c r="G212" s="2" t="s">
        <v>1380</v>
      </c>
      <c r="H212" s="2" t="s">
        <v>1380</v>
      </c>
      <c r="L212" s="2" t="s">
        <v>1380</v>
      </c>
      <c r="M212" s="2" t="s">
        <v>1380</v>
      </c>
      <c r="N212" s="2" t="s">
        <v>1380</v>
      </c>
      <c r="O212" s="2" t="s">
        <v>1380</v>
      </c>
      <c r="P212" s="2" t="s">
        <v>1380</v>
      </c>
      <c r="Q212" s="5" t="s">
        <v>1380</v>
      </c>
    </row>
    <row r="213" spans="1:18" ht="30" x14ac:dyDescent="0.25">
      <c r="A213" s="2" t="str">
        <f>"SUR"&amp;TEXT(Table91[[#This Row],[Count]],"000")&amp;"."&amp;IF(Table91[[#This Row],[Category]]="Essential","E",IF(Table91[[#This Row],[Category]]="Discretionary","D","O"))</f>
        <v>SUR154.D</v>
      </c>
      <c r="B213" s="2">
        <f>MAX(Table89[Count])+ROWS(INDEX(Table91[Count],1):Table91[[#This Row],[Count]])</f>
        <v>154</v>
      </c>
      <c r="C213" s="5" t="s">
        <v>109</v>
      </c>
      <c r="D213" s="5" t="s">
        <v>1963</v>
      </c>
      <c r="E213" s="2" t="s">
        <v>18</v>
      </c>
      <c r="L213" s="2" t="s">
        <v>127</v>
      </c>
      <c r="M213" s="2" t="s">
        <v>127</v>
      </c>
      <c r="N213" s="2" t="s">
        <v>127</v>
      </c>
      <c r="O213" s="2" t="s">
        <v>127</v>
      </c>
      <c r="P213" s="2" t="s">
        <v>127</v>
      </c>
      <c r="Q213" s="5" t="s">
        <v>127</v>
      </c>
      <c r="R213" s="5" t="s">
        <v>1964</v>
      </c>
    </row>
    <row r="214" spans="1:18" ht="30" x14ac:dyDescent="0.25">
      <c r="A214" s="2" t="str">
        <f>"SUR"&amp;TEXT(Table91[[#This Row],[Count]],"000")&amp;"."&amp;IF(Table91[[#This Row],[Category]]="Essential","E",IF(Table91[[#This Row],[Category]]="Discretionary","D","O"))</f>
        <v>SUR155.E</v>
      </c>
      <c r="B214" s="2">
        <f>MAX(Table89[Count])+ROWS(INDEX(Table91[Count],1):Table91[[#This Row],[Count]])</f>
        <v>155</v>
      </c>
      <c r="C214" s="5" t="s">
        <v>109</v>
      </c>
      <c r="D214" s="5" t="s">
        <v>1965</v>
      </c>
      <c r="E214" s="2" t="s">
        <v>13</v>
      </c>
      <c r="L214" s="2" t="s">
        <v>127</v>
      </c>
      <c r="M214" s="2" t="s">
        <v>127</v>
      </c>
      <c r="N214" s="2" t="s">
        <v>127</v>
      </c>
      <c r="O214" s="2" t="s">
        <v>127</v>
      </c>
      <c r="P214" s="2" t="s">
        <v>127</v>
      </c>
      <c r="Q214" s="5" t="s">
        <v>127</v>
      </c>
      <c r="R214" s="5" t="s">
        <v>1964</v>
      </c>
    </row>
    <row r="215" spans="1:18" ht="30" x14ac:dyDescent="0.25">
      <c r="A215" s="2" t="str">
        <f>"SUR"&amp;TEXT(Table91[[#This Row],[Count]],"000")&amp;"."&amp;IF(Table91[[#This Row],[Category]]="Essential","E",IF(Table91[[#This Row],[Category]]="Discretionary","D","O"))</f>
        <v>SUR156.E</v>
      </c>
      <c r="B215" s="2">
        <f>MAX(Table89[Count])+ROWS(INDEX(Table91[Count],1):Table91[[#This Row],[Count]])</f>
        <v>156</v>
      </c>
      <c r="C215" s="5" t="s">
        <v>109</v>
      </c>
      <c r="D215" s="5" t="s">
        <v>1966</v>
      </c>
      <c r="E215" s="2" t="s">
        <v>13</v>
      </c>
      <c r="J215" s="2" t="s">
        <v>127</v>
      </c>
      <c r="K215" s="2" t="s">
        <v>127</v>
      </c>
      <c r="L215" s="2" t="s">
        <v>127</v>
      </c>
      <c r="M215" s="2" t="s">
        <v>127</v>
      </c>
      <c r="N215" s="2" t="s">
        <v>127</v>
      </c>
      <c r="O215" s="2" t="s">
        <v>127</v>
      </c>
      <c r="P215" s="2" t="s">
        <v>127</v>
      </c>
      <c r="Q215" s="5" t="s">
        <v>127</v>
      </c>
    </row>
    <row r="216" spans="1:18" x14ac:dyDescent="0.25">
      <c r="A216" s="2" t="str">
        <f>"SUR"&amp;TEXT(Table91[[#This Row],[Count]],"000")&amp;"."&amp;IF(Table91[[#This Row],[Category]]="Essential","E",IF(Table91[[#This Row],[Category]]="Discretionary","D","O"))</f>
        <v>SUR157.E</v>
      </c>
      <c r="B216" s="2">
        <f>MAX(Table89[Count])+ROWS(INDEX(Table91[Count],1):Table91[[#This Row],[Count]])</f>
        <v>157</v>
      </c>
      <c r="C216" s="5" t="s">
        <v>109</v>
      </c>
      <c r="D216" s="5" t="s">
        <v>1967</v>
      </c>
      <c r="E216" s="2" t="s">
        <v>13</v>
      </c>
      <c r="F216" s="2" t="s">
        <v>127</v>
      </c>
    </row>
    <row r="217" spans="1:18" x14ac:dyDescent="0.25">
      <c r="A217" s="2" t="str">
        <f>"SUR"&amp;TEXT(Table91[[#This Row],[Count]],"000")&amp;"."&amp;IF(Table91[[#This Row],[Category]]="Essential","E",IF(Table91[[#This Row],[Category]]="Discretionary","D","O"))</f>
        <v>SUR158.E</v>
      </c>
      <c r="B217" s="2">
        <f>MAX(Table89[Count])+ROWS(INDEX(Table91[Count],1):Table91[[#This Row],[Count]])</f>
        <v>158</v>
      </c>
      <c r="C217" s="5" t="s">
        <v>109</v>
      </c>
      <c r="D217" s="5" t="s">
        <v>1792</v>
      </c>
      <c r="E217" s="2" t="s">
        <v>13</v>
      </c>
      <c r="G217" s="2" t="s">
        <v>127</v>
      </c>
      <c r="H217" s="2" t="s">
        <v>127</v>
      </c>
    </row>
    <row r="218" spans="1:18" ht="30" x14ac:dyDescent="0.25">
      <c r="A218" s="2" t="str">
        <f>"SUR"&amp;TEXT(Table91[[#This Row],[Count]],"000")&amp;"."&amp;IF(Table91[[#This Row],[Category]]="Essential","E",IF(Table91[[#This Row],[Category]]="Discretionary","D","O"))</f>
        <v>SUR159.D</v>
      </c>
      <c r="B218" s="2">
        <f>MAX(Table89[Count])+ROWS(INDEX(Table91[Count],1):Table91[[#This Row],[Count]])</f>
        <v>159</v>
      </c>
      <c r="C218" s="5" t="s">
        <v>109</v>
      </c>
      <c r="D218" s="5" t="s">
        <v>1968</v>
      </c>
      <c r="E218" s="2" t="s">
        <v>18</v>
      </c>
    </row>
    <row r="219" spans="1:18" x14ac:dyDescent="0.25">
      <c r="A219" s="2" t="str">
        <f>"SUR"&amp;TEXT(Table91[[#This Row],[Count]],"000")&amp;"."&amp;IF(Table91[[#This Row],[Category]]="Essential","E",IF(Table91[[#This Row],[Category]]="Discretionary","D","O"))</f>
        <v>SUR160.D</v>
      </c>
      <c r="B219" s="2">
        <f>MAX(Table89[Count])+ROWS(INDEX(Table91[Count],1):Table91[[#This Row],[Count]])</f>
        <v>160</v>
      </c>
      <c r="C219" s="5" t="s">
        <v>109</v>
      </c>
      <c r="D219" s="5" t="s">
        <v>1969</v>
      </c>
      <c r="E219" s="2" t="s">
        <v>18</v>
      </c>
      <c r="L219" s="2" t="s">
        <v>675</v>
      </c>
      <c r="M219" s="2" t="s">
        <v>675</v>
      </c>
      <c r="N219" s="2" t="s">
        <v>675</v>
      </c>
      <c r="O219" s="2" t="s">
        <v>675</v>
      </c>
      <c r="P219" s="2" t="s">
        <v>675</v>
      </c>
      <c r="Q219" s="5" t="s">
        <v>675</v>
      </c>
    </row>
    <row r="220" spans="1:18" ht="30" x14ac:dyDescent="0.25">
      <c r="A220" s="2" t="str">
        <f>"SUR"&amp;TEXT(Table91[[#This Row],[Count]],"000")&amp;"."&amp;IF(Table91[[#This Row],[Category]]="Essential","E",IF(Table91[[#This Row],[Category]]="Discretionary","D","O"))</f>
        <v>SUR161.E</v>
      </c>
      <c r="B220" s="2">
        <f>MAX(Table89[Count])+ROWS(INDEX(Table91[Count],1):Table91[[#This Row],[Count]])</f>
        <v>161</v>
      </c>
      <c r="C220" s="5" t="s">
        <v>109</v>
      </c>
      <c r="D220" s="5" t="s">
        <v>1970</v>
      </c>
      <c r="E220" s="2" t="s">
        <v>13</v>
      </c>
      <c r="R220" s="5" t="s">
        <v>1971</v>
      </c>
    </row>
    <row r="221" spans="1:18" x14ac:dyDescent="0.25">
      <c r="A221" s="2" t="str">
        <f>"SUR"&amp;TEXT(Table91[[#This Row],[Count]],"000")&amp;"."&amp;IF(Table91[[#This Row],[Category]]="Essential","E",IF(Table91[[#This Row],[Category]]="Discretionary","D","O"))</f>
        <v>SUR162.E</v>
      </c>
      <c r="B221" s="2">
        <f>MAX(Table89[Count])+ROWS(INDEX(Table91[Count],1):Table91[[#This Row],[Count]])</f>
        <v>162</v>
      </c>
      <c r="C221" s="5" t="s">
        <v>109</v>
      </c>
      <c r="D221" s="5" t="s">
        <v>1972</v>
      </c>
      <c r="E221" s="2" t="s">
        <v>13</v>
      </c>
      <c r="F221" s="2" t="s">
        <v>127</v>
      </c>
    </row>
    <row r="222" spans="1:18" x14ac:dyDescent="0.25">
      <c r="A222" s="2" t="str">
        <f>"SUR"&amp;TEXT(Table91[[#This Row],[Count]],"000")&amp;"."&amp;IF(Table91[[#This Row],[Category]]="Essential","E",IF(Table91[[#This Row],[Category]]="Discretionary","D","O"))</f>
        <v>SUR163.E</v>
      </c>
      <c r="B222" s="2">
        <f>MAX(Table89[Count])+ROWS(INDEX(Table91[Count],1):Table91[[#This Row],[Count]])</f>
        <v>163</v>
      </c>
      <c r="C222" s="5" t="s">
        <v>109</v>
      </c>
      <c r="D222" s="5" t="s">
        <v>1973</v>
      </c>
      <c r="E222" s="2" t="s">
        <v>13</v>
      </c>
      <c r="L222" s="2" t="s">
        <v>675</v>
      </c>
      <c r="M222" s="2" t="s">
        <v>675</v>
      </c>
      <c r="N222" s="2" t="s">
        <v>675</v>
      </c>
      <c r="O222" s="2" t="s">
        <v>675</v>
      </c>
      <c r="P222" s="2" t="s">
        <v>675</v>
      </c>
      <c r="Q222" s="5" t="s">
        <v>675</v>
      </c>
      <c r="R222" s="5" t="s">
        <v>1974</v>
      </c>
    </row>
    <row r="223" spans="1:18" x14ac:dyDescent="0.25">
      <c r="A223" s="2" t="str">
        <f>"SUR"&amp;TEXT(Table91[[#This Row],[Count]],"000")&amp;"."&amp;IF(Table91[[#This Row],[Category]]="Essential","E",IF(Table91[[#This Row],[Category]]="Discretionary","D","O"))</f>
        <v>SUR164.D</v>
      </c>
      <c r="B223" s="2">
        <f>MAX(Table89[Count])+ROWS(INDEX(Table91[Count],1):Table91[[#This Row],[Count]])</f>
        <v>164</v>
      </c>
      <c r="C223" s="5" t="s">
        <v>109</v>
      </c>
      <c r="D223" s="5" t="s">
        <v>1975</v>
      </c>
      <c r="E223" s="2" t="s">
        <v>18</v>
      </c>
      <c r="L223" s="2" t="s">
        <v>127</v>
      </c>
      <c r="M223" s="2" t="s">
        <v>127</v>
      </c>
      <c r="N223" s="2" t="s">
        <v>127</v>
      </c>
      <c r="O223" s="2" t="s">
        <v>127</v>
      </c>
      <c r="P223" s="2" t="s">
        <v>127</v>
      </c>
      <c r="Q223" s="5" t="s">
        <v>127</v>
      </c>
    </row>
    <row r="224" spans="1:18" ht="30" x14ac:dyDescent="0.25">
      <c r="A224" s="2" t="str">
        <f>"SUR"&amp;TEXT(Table91[[#This Row],[Count]],"000")&amp;"."&amp;IF(Table91[[#This Row],[Category]]="Essential","E",IF(Table91[[#This Row],[Category]]="Discretionary","D","O"))</f>
        <v>SUR165.E</v>
      </c>
      <c r="B224" s="2">
        <f>MAX(Table89[Count])+ROWS(INDEX(Table91[Count],1):Table91[[#This Row],[Count]])</f>
        <v>165</v>
      </c>
      <c r="C224" s="5" t="s">
        <v>109</v>
      </c>
      <c r="D224" s="5" t="s">
        <v>1976</v>
      </c>
      <c r="E224" s="2" t="s">
        <v>13</v>
      </c>
      <c r="G224" s="2" t="s">
        <v>127</v>
      </c>
      <c r="H224" s="2" t="s">
        <v>127</v>
      </c>
      <c r="L224" s="2" t="s">
        <v>127</v>
      </c>
      <c r="M224" s="2" t="s">
        <v>127</v>
      </c>
    </row>
    <row r="225" spans="1:17" x14ac:dyDescent="0.25">
      <c r="A225" s="2" t="str">
        <f>"SUR"&amp;TEXT(Table91[[#This Row],[Count]],"000")&amp;"."&amp;IF(Table91[[#This Row],[Category]]="Essential","E",IF(Table91[[#This Row],[Category]]="Discretionary","D","O"))</f>
        <v>SUR166.E</v>
      </c>
      <c r="B225" s="2">
        <f>MAX(Table89[Count])+ROWS(INDEX(Table91[Count],1):Table91[[#This Row],[Count]])</f>
        <v>166</v>
      </c>
      <c r="C225" s="5" t="s">
        <v>109</v>
      </c>
      <c r="D225" s="5" t="s">
        <v>1776</v>
      </c>
      <c r="E225" s="2" t="s">
        <v>13</v>
      </c>
    </row>
    <row r="226" spans="1:17" x14ac:dyDescent="0.25">
      <c r="A226" s="2" t="str">
        <f>"SUR"&amp;TEXT(Table91[[#This Row],[Count]],"000")&amp;"."&amp;IF(Table91[[#This Row],[Category]]="Essential","E",IF(Table91[[#This Row],[Category]]="Discretionary","D","O"))</f>
        <v>SUR167.D</v>
      </c>
      <c r="B226" s="2">
        <f>MAX(Table89[Count])+ROWS(INDEX(Table91[Count],1):Table91[[#This Row],[Count]])</f>
        <v>167</v>
      </c>
      <c r="C226" s="5" t="s">
        <v>109</v>
      </c>
      <c r="D226" s="5" t="s">
        <v>1977</v>
      </c>
      <c r="E226" s="2" t="s">
        <v>18</v>
      </c>
      <c r="L226" s="2" t="s">
        <v>127</v>
      </c>
      <c r="M226" s="2" t="s">
        <v>127</v>
      </c>
      <c r="N226" s="2" t="s">
        <v>127</v>
      </c>
      <c r="O226" s="2" t="s">
        <v>127</v>
      </c>
      <c r="P226" s="2" t="s">
        <v>127</v>
      </c>
      <c r="Q226" s="5" t="s">
        <v>127</v>
      </c>
    </row>
    <row r="227" spans="1:17" x14ac:dyDescent="0.25">
      <c r="A227" s="2" t="str">
        <f>"SUR"&amp;TEXT(Table91[[#This Row],[Count]],"000")&amp;"."&amp;IF(Table91[[#This Row],[Category]]="Essential","E",IF(Table91[[#This Row],[Category]]="Discretionary","D","O"))</f>
        <v>SUR168.D</v>
      </c>
      <c r="B227" s="2">
        <f>MAX(Table89[Count])+ROWS(INDEX(Table91[Count],1):Table91[[#This Row],[Count]])</f>
        <v>168</v>
      </c>
      <c r="C227" s="5" t="s">
        <v>109</v>
      </c>
      <c r="D227" s="5" t="s">
        <v>1978</v>
      </c>
      <c r="E227" s="2" t="s">
        <v>18</v>
      </c>
      <c r="F227" s="2" t="s">
        <v>127</v>
      </c>
    </row>
    <row r="228" spans="1:17" x14ac:dyDescent="0.25">
      <c r="A228" s="2" t="str">
        <f>"SUR"&amp;TEXT(Table91[[#This Row],[Count]],"000")&amp;"."&amp;IF(Table91[[#This Row],[Category]]="Essential","E",IF(Table91[[#This Row],[Category]]="Discretionary","D","O"))</f>
        <v>SUR169.E</v>
      </c>
      <c r="B228" s="2">
        <f>MAX(Table89[Count])+ROWS(INDEX(Table91[Count],1):Table91[[#This Row],[Count]])</f>
        <v>169</v>
      </c>
      <c r="C228" s="5" t="s">
        <v>109</v>
      </c>
      <c r="D228" s="5" t="s">
        <v>1979</v>
      </c>
      <c r="E228" s="2" t="s">
        <v>13</v>
      </c>
      <c r="F228" s="2" t="s">
        <v>127</v>
      </c>
    </row>
    <row r="229" spans="1:17" x14ac:dyDescent="0.25">
      <c r="A229" s="2" t="str">
        <f>"SUR"&amp;TEXT(Table91[[#This Row],[Count]],"000")&amp;"."&amp;IF(Table91[[#This Row],[Category]]="Essential","E",IF(Table91[[#This Row],[Category]]="Discretionary","D","O"))</f>
        <v>SUR170.D</v>
      </c>
      <c r="B229" s="2">
        <f>MAX(Table89[Count])+ROWS(INDEX(Table91[Count],1):Table91[[#This Row],[Count]])</f>
        <v>170</v>
      </c>
      <c r="C229" s="5" t="s">
        <v>109</v>
      </c>
      <c r="D229" s="5" t="s">
        <v>1980</v>
      </c>
      <c r="E229" s="2" t="s">
        <v>18</v>
      </c>
      <c r="L229" s="2" t="s">
        <v>127</v>
      </c>
      <c r="M229" s="2" t="s">
        <v>127</v>
      </c>
      <c r="N229" s="2" t="s">
        <v>127</v>
      </c>
      <c r="O229" s="2" t="s">
        <v>127</v>
      </c>
      <c r="P229" s="2" t="s">
        <v>127</v>
      </c>
      <c r="Q229" s="5" t="s">
        <v>127</v>
      </c>
    </row>
    <row r="230" spans="1:17" x14ac:dyDescent="0.25">
      <c r="A230" s="2" t="str">
        <f>"SUR"&amp;TEXT(Table91[[#This Row],[Count]],"000")&amp;"."&amp;IF(Table91[[#This Row],[Category]]="Essential","E",IF(Table91[[#This Row],[Category]]="Discretionary","D","O"))</f>
        <v>SUR171.D</v>
      </c>
      <c r="B230" s="2">
        <f>MAX(Table89[Count])+ROWS(INDEX(Table91[Count],1):Table91[[#This Row],[Count]])</f>
        <v>171</v>
      </c>
      <c r="C230" s="5" t="s">
        <v>109</v>
      </c>
      <c r="D230" s="5" t="s">
        <v>1981</v>
      </c>
      <c r="E230" s="2" t="s">
        <v>18</v>
      </c>
      <c r="M230" s="2" t="s">
        <v>675</v>
      </c>
      <c r="N230" s="2" t="s">
        <v>675</v>
      </c>
      <c r="O230" s="2" t="s">
        <v>675</v>
      </c>
      <c r="P230" s="2" t="s">
        <v>675</v>
      </c>
      <c r="Q230" s="5" t="s">
        <v>675</v>
      </c>
    </row>
    <row r="231" spans="1:17" ht="30" x14ac:dyDescent="0.25">
      <c r="A231" s="2" t="str">
        <f>"SUR"&amp;TEXT(Table91[[#This Row],[Count]],"000")&amp;"."&amp;IF(Table91[[#This Row],[Category]]="Essential","E",IF(Table91[[#This Row],[Category]]="Discretionary","D","O"))</f>
        <v>SUR172.E</v>
      </c>
      <c r="B231" s="2">
        <f>MAX(Table89[Count])+ROWS(INDEX(Table91[Count],1):Table91[[#This Row],[Count]])</f>
        <v>172</v>
      </c>
      <c r="C231" s="5" t="s">
        <v>109</v>
      </c>
      <c r="D231" s="5" t="s">
        <v>1777</v>
      </c>
      <c r="E231" s="2" t="s">
        <v>13</v>
      </c>
    </row>
    <row r="232" spans="1:17" x14ac:dyDescent="0.25">
      <c r="A232" s="2" t="str">
        <f>"SUR"&amp;TEXT(Table91[[#This Row],[Count]],"000")&amp;"."&amp;IF(Table91[[#This Row],[Category]]="Essential","E",IF(Table91[[#This Row],[Category]]="Discretionary","D","O"))</f>
        <v>SUR173.D</v>
      </c>
      <c r="B232" s="2">
        <f>MAX(Table89[Count])+ROWS(INDEX(Table91[Count],1):Table91[[#This Row],[Count]])</f>
        <v>173</v>
      </c>
      <c r="C232" s="5" t="s">
        <v>109</v>
      </c>
      <c r="D232" s="5" t="s">
        <v>1982</v>
      </c>
      <c r="E232" s="2" t="s">
        <v>18</v>
      </c>
    </row>
    <row r="233" spans="1:17" x14ac:dyDescent="0.25">
      <c r="A233" s="2" t="str">
        <f>"SUR"&amp;TEXT(Table91[[#This Row],[Count]],"000")&amp;"."&amp;IF(Table91[[#This Row],[Category]]="Essential","E",IF(Table91[[#This Row],[Category]]="Discretionary","D","O"))</f>
        <v>SUR174.D</v>
      </c>
      <c r="B233" s="2">
        <f>MAX(Table89[Count])+ROWS(INDEX(Table91[Count],1):Table91[[#This Row],[Count]])</f>
        <v>174</v>
      </c>
      <c r="C233" s="5" t="s">
        <v>109</v>
      </c>
      <c r="D233" s="5" t="s">
        <v>1983</v>
      </c>
      <c r="E233" s="2" t="s">
        <v>18</v>
      </c>
    </row>
    <row r="234" spans="1:17" ht="30" x14ac:dyDescent="0.25">
      <c r="A234" s="2" t="str">
        <f>"SUR"&amp;TEXT(Table91[[#This Row],[Count]],"000")&amp;"."&amp;IF(Table91[[#This Row],[Category]]="Essential","E",IF(Table91[[#This Row],[Category]]="Discretionary","D","O"))</f>
        <v>SUR175.E</v>
      </c>
      <c r="B234" s="2">
        <f>MAX(Table89[Count])+ROWS(INDEX(Table91[Count],1):Table91[[#This Row],[Count]])</f>
        <v>175</v>
      </c>
      <c r="C234" s="5" t="s">
        <v>109</v>
      </c>
      <c r="D234" s="5" t="s">
        <v>1984</v>
      </c>
      <c r="E234" s="2" t="s">
        <v>13</v>
      </c>
      <c r="L234" s="2" t="s">
        <v>127</v>
      </c>
      <c r="M234" s="2" t="s">
        <v>127</v>
      </c>
      <c r="N234" s="2" t="s">
        <v>127</v>
      </c>
      <c r="O234" s="2" t="s">
        <v>127</v>
      </c>
      <c r="P234" s="2" t="s">
        <v>127</v>
      </c>
      <c r="Q234" s="5" t="s">
        <v>127</v>
      </c>
    </row>
    <row r="235" spans="1:17" x14ac:dyDescent="0.25">
      <c r="A235" s="2" t="str">
        <f>"SUR"&amp;TEXT(Table91[[#This Row],[Count]],"000")&amp;"."&amp;IF(Table91[[#This Row],[Category]]="Essential","E",IF(Table91[[#This Row],[Category]]="Discretionary","D","O"))</f>
        <v>SUR176.D</v>
      </c>
      <c r="B235" s="2">
        <f>MAX(Table89[Count])+ROWS(INDEX(Table91[Count],1):Table91[[#This Row],[Count]])</f>
        <v>176</v>
      </c>
      <c r="C235" s="5" t="s">
        <v>109</v>
      </c>
      <c r="D235" s="5" t="s">
        <v>1985</v>
      </c>
      <c r="E235" s="2" t="s">
        <v>18</v>
      </c>
      <c r="F235" s="2" t="s">
        <v>1380</v>
      </c>
      <c r="G235" s="2" t="s">
        <v>127</v>
      </c>
      <c r="H235" s="2" t="s">
        <v>127</v>
      </c>
      <c r="L235" s="2" t="s">
        <v>127</v>
      </c>
      <c r="M235" s="2" t="s">
        <v>127</v>
      </c>
    </row>
    <row r="236" spans="1:17" x14ac:dyDescent="0.25">
      <c r="A236" s="2" t="str">
        <f>"SUR"&amp;TEXT(Table91[[#This Row],[Count]],"000")&amp;"."&amp;IF(Table91[[#This Row],[Category]]="Essential","E",IF(Table91[[#This Row],[Category]]="Discretionary","D","O"))</f>
        <v>SUR177.D</v>
      </c>
      <c r="B236" s="2">
        <f>MAX(Table89[Count])+ROWS(INDEX(Table91[Count],1):Table91[[#This Row],[Count]])</f>
        <v>177</v>
      </c>
      <c r="C236" s="5" t="s">
        <v>109</v>
      </c>
      <c r="D236" s="5" t="s">
        <v>1986</v>
      </c>
      <c r="E236" s="2" t="s">
        <v>18</v>
      </c>
      <c r="L236" s="2" t="s">
        <v>127</v>
      </c>
      <c r="M236" s="2" t="s">
        <v>127</v>
      </c>
      <c r="N236" s="2" t="s">
        <v>127</v>
      </c>
      <c r="O236" s="2" t="s">
        <v>127</v>
      </c>
      <c r="P236" s="2" t="s">
        <v>127</v>
      </c>
      <c r="Q236" s="5" t="s">
        <v>127</v>
      </c>
    </row>
    <row r="237" spans="1:17" x14ac:dyDescent="0.25">
      <c r="A237" s="2" t="str">
        <f>"SUR"&amp;TEXT(Table91[[#This Row],[Count]],"000")&amp;"."&amp;IF(Table91[[#This Row],[Category]]="Essential","E",IF(Table91[[#This Row],[Category]]="Discretionary","D","O"))</f>
        <v>SUR178.E</v>
      </c>
      <c r="B237" s="2">
        <f>MAX(Table89[Count])+ROWS(INDEX(Table91[Count],1):Table91[[#This Row],[Count]])</f>
        <v>178</v>
      </c>
      <c r="C237" s="5" t="s">
        <v>109</v>
      </c>
      <c r="D237" s="5" t="s">
        <v>1987</v>
      </c>
      <c r="E237" s="2" t="s">
        <v>13</v>
      </c>
      <c r="F237" s="2" t="s">
        <v>675</v>
      </c>
    </row>
    <row r="238" spans="1:17" x14ac:dyDescent="0.25">
      <c r="A238" s="2" t="str">
        <f>"SUR"&amp;TEXT(Table91[[#This Row],[Count]],"000")&amp;"."&amp;IF(Table91[[#This Row],[Category]]="Essential","E",IF(Table91[[#This Row],[Category]]="Discretionary","D","O"))</f>
        <v>SUR179.D</v>
      </c>
      <c r="B238" s="2">
        <f>MAX(Table89[Count])+ROWS(INDEX(Table91[Count],1):Table91[[#This Row],[Count]])</f>
        <v>179</v>
      </c>
      <c r="C238" s="5" t="s">
        <v>109</v>
      </c>
      <c r="D238" s="5" t="s">
        <v>1988</v>
      </c>
      <c r="E238" s="2" t="s">
        <v>18</v>
      </c>
      <c r="L238" s="2" t="s">
        <v>127</v>
      </c>
      <c r="M238" s="2" t="s">
        <v>127</v>
      </c>
      <c r="N238" s="2" t="s">
        <v>127</v>
      </c>
      <c r="O238" s="2" t="s">
        <v>127</v>
      </c>
      <c r="P238" s="2" t="s">
        <v>127</v>
      </c>
      <c r="Q238" s="5" t="s">
        <v>127</v>
      </c>
    </row>
    <row r="239" spans="1:17" x14ac:dyDescent="0.25">
      <c r="A239" s="2" t="str">
        <f>"SUR"&amp;TEXT(Table91[[#This Row],[Count]],"000")&amp;"."&amp;IF(Table91[[#This Row],[Category]]="Essential","E",IF(Table91[[#This Row],[Category]]="Discretionary","D","O"))</f>
        <v>SUR180.E</v>
      </c>
      <c r="B239" s="2">
        <f>MAX(Table89[Count])+ROWS(INDEX(Table91[Count],1):Table91[[#This Row],[Count]])</f>
        <v>180</v>
      </c>
      <c r="C239" s="5" t="s">
        <v>109</v>
      </c>
      <c r="D239" s="5" t="s">
        <v>1989</v>
      </c>
      <c r="E239" s="2" t="s">
        <v>13</v>
      </c>
      <c r="F239" s="2" t="s">
        <v>127</v>
      </c>
    </row>
    <row r="240" spans="1:17" x14ac:dyDescent="0.25">
      <c r="A240" s="2" t="str">
        <f>"SUR"&amp;TEXT(Table91[[#This Row],[Count]],"000")&amp;"."&amp;IF(Table91[[#This Row],[Category]]="Essential","E",IF(Table91[[#This Row],[Category]]="Discretionary","D","O"))</f>
        <v>SUR181.E</v>
      </c>
      <c r="B240" s="2">
        <f>MAX(Table89[Count])+ROWS(INDEX(Table91[Count],1):Table91[[#This Row],[Count]])</f>
        <v>181</v>
      </c>
      <c r="C240" s="5" t="s">
        <v>109</v>
      </c>
      <c r="D240" s="5" t="s">
        <v>1990</v>
      </c>
      <c r="E240" s="2" t="s">
        <v>13</v>
      </c>
      <c r="L240" s="2" t="s">
        <v>675</v>
      </c>
      <c r="M240" s="2" t="s">
        <v>675</v>
      </c>
      <c r="N240" s="2" t="s">
        <v>675</v>
      </c>
      <c r="O240" s="2" t="s">
        <v>675</v>
      </c>
      <c r="P240" s="2" t="s">
        <v>675</v>
      </c>
      <c r="Q240" s="5" t="s">
        <v>675</v>
      </c>
    </row>
    <row r="241" spans="1:18" x14ac:dyDescent="0.25">
      <c r="A241" s="2" t="str">
        <f>"SUR"&amp;TEXT(Table91[[#This Row],[Count]],"000")&amp;"."&amp;IF(Table91[[#This Row],[Category]]="Essential","E",IF(Table91[[#This Row],[Category]]="Discretionary","D","O"))</f>
        <v>SUR182.E</v>
      </c>
      <c r="B241" s="2">
        <f>MAX(Table89[Count])+ROWS(INDEX(Table91[Count],1):Table91[[#This Row],[Count]])</f>
        <v>182</v>
      </c>
      <c r="C241" s="5" t="s">
        <v>109</v>
      </c>
      <c r="D241" s="5" t="s">
        <v>1991</v>
      </c>
      <c r="E241" s="2" t="s">
        <v>13</v>
      </c>
      <c r="N241" s="2" t="s">
        <v>675</v>
      </c>
      <c r="O241" s="2" t="s">
        <v>675</v>
      </c>
      <c r="P241" s="2" t="s">
        <v>675</v>
      </c>
      <c r="Q241" s="5" t="s">
        <v>675</v>
      </c>
    </row>
    <row r="243" spans="1:18" x14ac:dyDescent="0.25">
      <c r="A243" s="58" t="s">
        <v>113</v>
      </c>
      <c r="B243" s="58"/>
      <c r="C243" s="58"/>
      <c r="D243" s="58"/>
      <c r="E243" s="58"/>
      <c r="F243" s="58"/>
      <c r="G243" s="58"/>
      <c r="H243" s="58"/>
      <c r="I243" s="58"/>
      <c r="J243" s="58"/>
      <c r="K243" s="58"/>
      <c r="L243" s="58"/>
      <c r="M243" s="58"/>
      <c r="N243" s="58"/>
      <c r="O243" s="58"/>
      <c r="P243" s="58"/>
      <c r="Q243" s="58"/>
      <c r="R243" s="58"/>
    </row>
    <row r="245" spans="1:18" x14ac:dyDescent="0.25">
      <c r="A245" s="6" t="s">
        <v>120</v>
      </c>
      <c r="B245" s="6" t="s">
        <v>121</v>
      </c>
      <c r="C245" s="7" t="s">
        <v>122</v>
      </c>
      <c r="D245" s="7" t="s">
        <v>123</v>
      </c>
      <c r="E245" s="6" t="s">
        <v>8</v>
      </c>
      <c r="F245" s="6" t="s">
        <v>124</v>
      </c>
      <c r="G245" s="6" t="s">
        <v>154</v>
      </c>
      <c r="H245" s="6" t="s">
        <v>155</v>
      </c>
      <c r="I245" s="6" t="s">
        <v>156</v>
      </c>
      <c r="J245" s="6" t="s">
        <v>157</v>
      </c>
      <c r="K245" s="6" t="s">
        <v>158</v>
      </c>
      <c r="L245" s="6" t="s">
        <v>159</v>
      </c>
      <c r="M245" s="6" t="s">
        <v>160</v>
      </c>
      <c r="N245" s="6" t="s">
        <v>161</v>
      </c>
      <c r="O245" s="6" t="s">
        <v>162</v>
      </c>
      <c r="P245" s="6" t="s">
        <v>163</v>
      </c>
      <c r="Q245" s="7" t="s">
        <v>164</v>
      </c>
      <c r="R245" s="7" t="s">
        <v>125</v>
      </c>
    </row>
    <row r="246" spans="1:18" x14ac:dyDescent="0.25">
      <c r="A246" s="2" t="str">
        <f>"SUR"&amp;TEXT(Table92[[#This Row],[Count]],"000")&amp;"."&amp;IF(Table92[[#This Row],[Category]]="Essential","E",IF(Table92[[#This Row],[Category]]="Discretionary","D","O"))</f>
        <v>SUR151.D</v>
      </c>
      <c r="B246" s="2">
        <f>MAX(Table89[Count])+ROWS(INDEX(Table92[Count],1):Table92[[#This Row],[Count]])</f>
        <v>151</v>
      </c>
      <c r="C246" s="5" t="s">
        <v>113</v>
      </c>
      <c r="D246" s="5" t="s">
        <v>436</v>
      </c>
      <c r="E246" s="2" t="s">
        <v>18</v>
      </c>
      <c r="G246" s="2" t="s">
        <v>127</v>
      </c>
      <c r="H246" s="2" t="s">
        <v>127</v>
      </c>
      <c r="I246" s="2" t="s">
        <v>127</v>
      </c>
    </row>
    <row r="247" spans="1:18" ht="30" x14ac:dyDescent="0.25">
      <c r="A247" s="2" t="str">
        <f>"SUR"&amp;TEXT(Table92[[#This Row],[Count]],"000")&amp;"."&amp;IF(Table92[[#This Row],[Category]]="Essential","E",IF(Table92[[#This Row],[Category]]="Discretionary","D","O"))</f>
        <v>SUR152.D</v>
      </c>
      <c r="B247" s="2">
        <f>MAX(Table89[Count])+ROWS(INDEX(Table92[Count],1):Table92[[#This Row],[Count]])</f>
        <v>152</v>
      </c>
      <c r="C247" s="5" t="s">
        <v>113</v>
      </c>
      <c r="D247" s="5" t="s">
        <v>1992</v>
      </c>
      <c r="E247" s="2" t="s">
        <v>18</v>
      </c>
      <c r="L247" s="2" t="s">
        <v>127</v>
      </c>
      <c r="M247" s="2" t="s">
        <v>127</v>
      </c>
      <c r="N247" s="2" t="s">
        <v>127</v>
      </c>
      <c r="O247" s="2" t="s">
        <v>127</v>
      </c>
      <c r="P247" s="2" t="s">
        <v>127</v>
      </c>
    </row>
    <row r="248" spans="1:18" ht="30" x14ac:dyDescent="0.25">
      <c r="A248" s="2" t="str">
        <f>"SUR"&amp;TEXT(Table92[[#This Row],[Count]],"000")&amp;"."&amp;IF(Table92[[#This Row],[Category]]="Essential","E",IF(Table92[[#This Row],[Category]]="Discretionary","D","O"))</f>
        <v>SUR153.D</v>
      </c>
      <c r="B248" s="2">
        <f>MAX(Table89[Count])+ROWS(INDEX(Table92[Count],1):Table92[[#This Row],[Count]])</f>
        <v>153</v>
      </c>
      <c r="C248" s="5" t="s">
        <v>113</v>
      </c>
      <c r="D248" s="5" t="s">
        <v>1993</v>
      </c>
      <c r="E248" s="2" t="s">
        <v>18</v>
      </c>
      <c r="L248" s="2" t="s">
        <v>127</v>
      </c>
      <c r="M248" s="2" t="s">
        <v>127</v>
      </c>
      <c r="N248" s="2" t="s">
        <v>127</v>
      </c>
      <c r="O248" s="2" t="s">
        <v>127</v>
      </c>
      <c r="P248" s="2" t="s">
        <v>127</v>
      </c>
    </row>
    <row r="249" spans="1:18" ht="45" x14ac:dyDescent="0.25">
      <c r="A249" s="2" t="str">
        <f>"SUR"&amp;TEXT(Table92[[#This Row],[Count]],"000")&amp;"."&amp;IF(Table92[[#This Row],[Category]]="Essential","E",IF(Table92[[#This Row],[Category]]="Discretionary","D","O"))</f>
        <v>SUR154.D</v>
      </c>
      <c r="B249" s="2">
        <f>MAX(Table89[Count])+ROWS(INDEX(Table92[Count],1):Table92[[#This Row],[Count]])</f>
        <v>154</v>
      </c>
      <c r="C249" s="5" t="s">
        <v>113</v>
      </c>
      <c r="D249" s="5" t="s">
        <v>1994</v>
      </c>
      <c r="E249" s="2" t="s">
        <v>18</v>
      </c>
      <c r="L249" s="2" t="s">
        <v>127</v>
      </c>
      <c r="M249" s="2" t="s">
        <v>127</v>
      </c>
      <c r="N249" s="2" t="s">
        <v>127</v>
      </c>
      <c r="O249" s="2" t="s">
        <v>127</v>
      </c>
      <c r="P249" s="2" t="s">
        <v>127</v>
      </c>
    </row>
    <row r="250" spans="1:18" x14ac:dyDescent="0.25">
      <c r="A250" s="2" t="str">
        <f>"SUR"&amp;TEXT(Table92[[#This Row],[Count]],"000")&amp;"."&amp;IF(Table92[[#This Row],[Category]]="Essential","E",IF(Table92[[#This Row],[Category]]="Discretionary","D","O"))</f>
        <v>SUR155.D</v>
      </c>
      <c r="B250" s="2">
        <f>MAX(Table89[Count])+ROWS(INDEX(Table92[Count],1):Table92[[#This Row],[Count]])</f>
        <v>155</v>
      </c>
      <c r="C250" s="5" t="s">
        <v>113</v>
      </c>
      <c r="D250" s="5" t="s">
        <v>1995</v>
      </c>
      <c r="E250" s="2" t="s">
        <v>18</v>
      </c>
      <c r="N250" s="2" t="s">
        <v>127</v>
      </c>
      <c r="O250" s="2" t="s">
        <v>127</v>
      </c>
      <c r="P250" s="2" t="s">
        <v>127</v>
      </c>
    </row>
    <row r="251" spans="1:18" x14ac:dyDescent="0.25">
      <c r="A251" s="2" t="str">
        <f>"SUR"&amp;TEXT(Table92[[#This Row],[Count]],"000")&amp;"."&amp;IF(Table92[[#This Row],[Category]]="Essential","E",IF(Table92[[#This Row],[Category]]="Discretionary","D","O"))</f>
        <v>SUR156.E</v>
      </c>
      <c r="B251" s="2">
        <f>MAX(Table89[Count])+ROWS(INDEX(Table92[Count],1):Table92[[#This Row],[Count]])</f>
        <v>156</v>
      </c>
      <c r="C251" s="5" t="s">
        <v>113</v>
      </c>
      <c r="D251" s="5" t="s">
        <v>1996</v>
      </c>
      <c r="E251" s="2" t="s">
        <v>13</v>
      </c>
      <c r="L251" s="2" t="s">
        <v>127</v>
      </c>
      <c r="M251" s="2" t="s">
        <v>127</v>
      </c>
      <c r="N251" s="2" t="s">
        <v>127</v>
      </c>
      <c r="O251" s="2" t="s">
        <v>127</v>
      </c>
      <c r="P251" s="2" t="s">
        <v>127</v>
      </c>
    </row>
    <row r="252" spans="1:18" x14ac:dyDescent="0.25">
      <c r="A252" s="2" t="str">
        <f>"SUR"&amp;TEXT(Table92[[#This Row],[Count]],"000")&amp;"."&amp;IF(Table92[[#This Row],[Category]]="Essential","E",IF(Table92[[#This Row],[Category]]="Discretionary","D","O"))</f>
        <v>SUR157.D</v>
      </c>
      <c r="B252" s="2">
        <f>MAX(Table89[Count])+ROWS(INDEX(Table92[Count],1):Table92[[#This Row],[Count]])</f>
        <v>157</v>
      </c>
      <c r="C252" s="5" t="s">
        <v>113</v>
      </c>
      <c r="D252" s="5" t="s">
        <v>1997</v>
      </c>
      <c r="E252" s="2" t="s">
        <v>18</v>
      </c>
      <c r="L252" s="2" t="s">
        <v>127</v>
      </c>
      <c r="M252" s="2" t="s">
        <v>127</v>
      </c>
      <c r="N252" s="2" t="s">
        <v>127</v>
      </c>
      <c r="O252" s="2" t="s">
        <v>127</v>
      </c>
      <c r="P252" s="2" t="s">
        <v>127</v>
      </c>
    </row>
    <row r="253" spans="1:18" ht="30" x14ac:dyDescent="0.25">
      <c r="A253" s="2" t="str">
        <f>"SUR"&amp;TEXT(Table92[[#This Row],[Count]],"000")&amp;"."&amp;IF(Table92[[#This Row],[Category]]="Essential","E",IF(Table92[[#This Row],[Category]]="Discretionary","D","O"))</f>
        <v>SUR158.E</v>
      </c>
      <c r="B253" s="2">
        <f>MAX(Table89[Count])+ROWS(INDEX(Table92[Count],1):Table92[[#This Row],[Count]])</f>
        <v>158</v>
      </c>
      <c r="C253" s="5" t="s">
        <v>113</v>
      </c>
      <c r="D253" s="5" t="s">
        <v>1998</v>
      </c>
      <c r="E253" s="2" t="s">
        <v>13</v>
      </c>
      <c r="F253" s="2" t="s">
        <v>127</v>
      </c>
      <c r="L253" s="2" t="s">
        <v>127</v>
      </c>
      <c r="M253" s="2" t="s">
        <v>127</v>
      </c>
      <c r="N253" s="2" t="s">
        <v>127</v>
      </c>
      <c r="O253" s="2" t="s">
        <v>127</v>
      </c>
      <c r="P253" s="2" t="s">
        <v>127</v>
      </c>
    </row>
    <row r="254" spans="1:18" ht="30" x14ac:dyDescent="0.25">
      <c r="A254" s="2" t="str">
        <f>"SUR"&amp;TEXT(Table92[[#This Row],[Count]],"000")&amp;"."&amp;IF(Table92[[#This Row],[Category]]="Essential","E",IF(Table92[[#This Row],[Category]]="Discretionary","D","O"))</f>
        <v>SUR159.D</v>
      </c>
      <c r="B254" s="2">
        <f>MAX(Table89[Count])+ROWS(INDEX(Table92[Count],1):Table92[[#This Row],[Count]])</f>
        <v>159</v>
      </c>
      <c r="C254" s="5" t="s">
        <v>113</v>
      </c>
      <c r="D254" s="5" t="s">
        <v>1999</v>
      </c>
      <c r="E254" s="2" t="s">
        <v>18</v>
      </c>
      <c r="O254" s="2" t="s">
        <v>127</v>
      </c>
      <c r="P254" s="2" t="s">
        <v>127</v>
      </c>
    </row>
    <row r="255" spans="1:18" x14ac:dyDescent="0.25">
      <c r="A255" s="2" t="str">
        <f>"SUR"&amp;TEXT(Table92[[#This Row],[Count]],"000")&amp;"."&amp;IF(Table92[[#This Row],[Category]]="Essential","E",IF(Table92[[#This Row],[Category]]="Discretionary","D","O"))</f>
        <v>SUR160.E</v>
      </c>
      <c r="B255" s="2">
        <f>MAX(Table89[Count])+ROWS(INDEX(Table92[Count],1):Table92[[#This Row],[Count]])</f>
        <v>160</v>
      </c>
      <c r="C255" s="5" t="s">
        <v>113</v>
      </c>
      <c r="D255" s="5" t="s">
        <v>2000</v>
      </c>
      <c r="E255" s="2" t="s">
        <v>13</v>
      </c>
      <c r="L255" s="2" t="s">
        <v>127</v>
      </c>
      <c r="M255" s="2" t="s">
        <v>127</v>
      </c>
      <c r="N255" s="2" t="s">
        <v>127</v>
      </c>
      <c r="O255" s="2" t="s">
        <v>127</v>
      </c>
      <c r="P255" s="2" t="s">
        <v>127</v>
      </c>
    </row>
    <row r="256" spans="1:18" ht="30" x14ac:dyDescent="0.25">
      <c r="A256" s="2" t="str">
        <f>"SUR"&amp;TEXT(Table92[[#This Row],[Count]],"000")&amp;"."&amp;IF(Table92[[#This Row],[Category]]="Essential","E",IF(Table92[[#This Row],[Category]]="Discretionary","D","O"))</f>
        <v>SUR161.D</v>
      </c>
      <c r="B256" s="2">
        <f>MAX(Table89[Count])+ROWS(INDEX(Table92[Count],1):Table92[[#This Row],[Count]])</f>
        <v>161</v>
      </c>
      <c r="C256" s="5" t="s">
        <v>113</v>
      </c>
      <c r="D256" s="5" t="s">
        <v>2001</v>
      </c>
      <c r="E256" s="2" t="s">
        <v>18</v>
      </c>
      <c r="O256" s="2" t="s">
        <v>127</v>
      </c>
      <c r="P256" s="2" t="s">
        <v>127</v>
      </c>
    </row>
    <row r="257" spans="1:18" ht="30" x14ac:dyDescent="0.25">
      <c r="A257" s="2" t="str">
        <f>"SUR"&amp;TEXT(Table92[[#This Row],[Count]],"000")&amp;"."&amp;IF(Table92[[#This Row],[Category]]="Essential","E",IF(Table92[[#This Row],[Category]]="Discretionary","D","O"))</f>
        <v>SUR162.D</v>
      </c>
      <c r="B257" s="2">
        <f>MAX(Table89[Count])+ROWS(INDEX(Table92[Count],1):Table92[[#This Row],[Count]])</f>
        <v>162</v>
      </c>
      <c r="C257" s="5" t="s">
        <v>113</v>
      </c>
      <c r="D257" s="5" t="s">
        <v>2002</v>
      </c>
      <c r="E257" s="2" t="s">
        <v>18</v>
      </c>
      <c r="O257" s="2" t="s">
        <v>127</v>
      </c>
      <c r="P257" s="2" t="s">
        <v>127</v>
      </c>
    </row>
    <row r="258" spans="1:18" ht="30" x14ac:dyDescent="0.25">
      <c r="A258" s="2" t="str">
        <f>"SUR"&amp;TEXT(Table92[[#This Row],[Count]],"000")&amp;"."&amp;IF(Table92[[#This Row],[Category]]="Essential","E",IF(Table92[[#This Row],[Category]]="Discretionary","D","O"))</f>
        <v>SUR163.D</v>
      </c>
      <c r="B258" s="2">
        <f>MAX(Table89[Count])+ROWS(INDEX(Table92[Count],1):Table92[[#This Row],[Count]])</f>
        <v>163</v>
      </c>
      <c r="C258" s="5" t="s">
        <v>113</v>
      </c>
      <c r="D258" s="5" t="s">
        <v>2003</v>
      </c>
      <c r="E258" s="2" t="s">
        <v>18</v>
      </c>
      <c r="L258" s="2" t="s">
        <v>127</v>
      </c>
      <c r="M258" s="2" t="s">
        <v>127</v>
      </c>
    </row>
    <row r="259" spans="1:18" x14ac:dyDescent="0.25">
      <c r="A259" s="2" t="str">
        <f>"SUR"&amp;TEXT(Table92[[#This Row],[Count]],"000")&amp;"."&amp;IF(Table92[[#This Row],[Category]]="Essential","E",IF(Table92[[#This Row],[Category]]="Discretionary","D","O"))</f>
        <v>SUR164.D</v>
      </c>
      <c r="B259" s="2">
        <f>MAX(Table89[Count])+ROWS(INDEX(Table92[Count],1):Table92[[#This Row],[Count]])</f>
        <v>164</v>
      </c>
      <c r="C259" s="5" t="s">
        <v>113</v>
      </c>
      <c r="D259" s="5" t="s">
        <v>2004</v>
      </c>
      <c r="E259" s="2" t="s">
        <v>18</v>
      </c>
      <c r="F259" s="2" t="s">
        <v>127</v>
      </c>
      <c r="L259" s="2" t="s">
        <v>127</v>
      </c>
      <c r="M259" s="2" t="s">
        <v>127</v>
      </c>
      <c r="N259" s="2" t="s">
        <v>127</v>
      </c>
      <c r="O259" s="2" t="s">
        <v>127</v>
      </c>
      <c r="P259" s="2" t="s">
        <v>127</v>
      </c>
    </row>
    <row r="260" spans="1:18" x14ac:dyDescent="0.25">
      <c r="A260" s="2" t="str">
        <f>"SUR"&amp;TEXT(Table92[[#This Row],[Count]],"000")&amp;"."&amp;IF(Table92[[#This Row],[Category]]="Essential","E",IF(Table92[[#This Row],[Category]]="Discretionary","D","O"))</f>
        <v>SUR165.E</v>
      </c>
      <c r="B260" s="2">
        <f>MAX(Table89[Count])+ROWS(INDEX(Table92[Count],1):Table92[[#This Row],[Count]])</f>
        <v>165</v>
      </c>
      <c r="C260" s="5" t="s">
        <v>113</v>
      </c>
      <c r="D260" s="5" t="s">
        <v>2005</v>
      </c>
      <c r="E260" s="2" t="s">
        <v>13</v>
      </c>
      <c r="F260" s="2" t="s">
        <v>675</v>
      </c>
      <c r="G260" s="2" t="s">
        <v>127</v>
      </c>
      <c r="H260" s="2" t="s">
        <v>127</v>
      </c>
      <c r="I260" s="2" t="s">
        <v>127</v>
      </c>
      <c r="J260" s="2" t="s">
        <v>127</v>
      </c>
      <c r="K260" s="2" t="s">
        <v>127</v>
      </c>
      <c r="L260" s="2" t="s">
        <v>127</v>
      </c>
      <c r="M260" s="2" t="s">
        <v>127</v>
      </c>
      <c r="N260" s="2" t="s">
        <v>127</v>
      </c>
      <c r="O260" s="2" t="s">
        <v>127</v>
      </c>
      <c r="P260" s="2" t="s">
        <v>127</v>
      </c>
    </row>
    <row r="261" spans="1:18" x14ac:dyDescent="0.25">
      <c r="A261" s="2" t="str">
        <f>"SUR"&amp;TEXT(Table92[[#This Row],[Count]],"000")&amp;"."&amp;IF(Table92[[#This Row],[Category]]="Essential","E",IF(Table92[[#This Row],[Category]]="Discretionary","D","O"))</f>
        <v>SUR166.E</v>
      </c>
      <c r="B261" s="2">
        <f>MAX(Table89[Count])+ROWS(INDEX(Table92[Count],1):Table92[[#This Row],[Count]])</f>
        <v>166</v>
      </c>
      <c r="C261" s="5" t="s">
        <v>113</v>
      </c>
      <c r="D261" s="5" t="s">
        <v>2006</v>
      </c>
      <c r="E261" s="2" t="s">
        <v>13</v>
      </c>
      <c r="M261" s="2" t="s">
        <v>127</v>
      </c>
      <c r="N261" s="2" t="s">
        <v>127</v>
      </c>
      <c r="O261" s="2" t="s">
        <v>127</v>
      </c>
      <c r="P261" s="2" t="s">
        <v>127</v>
      </c>
    </row>
    <row r="262" spans="1:18" ht="45" x14ac:dyDescent="0.25">
      <c r="A262" s="2" t="str">
        <f>"SUR"&amp;TEXT(Table92[[#This Row],[Count]],"000")&amp;"."&amp;IF(Table92[[#This Row],[Category]]="Essential","E",IF(Table92[[#This Row],[Category]]="Discretionary","D","O"))</f>
        <v>SUR167.E</v>
      </c>
      <c r="B262" s="2">
        <f>MAX(Table89[Count])+ROWS(INDEX(Table92[Count],1):Table92[[#This Row],[Count]])</f>
        <v>167</v>
      </c>
      <c r="C262" s="5" t="s">
        <v>113</v>
      </c>
      <c r="D262" s="5" t="s">
        <v>2007</v>
      </c>
      <c r="E262" s="2" t="s">
        <v>13</v>
      </c>
      <c r="N262" s="2" t="s">
        <v>127</v>
      </c>
      <c r="O262" s="2" t="s">
        <v>127</v>
      </c>
      <c r="P262" s="2" t="s">
        <v>675</v>
      </c>
    </row>
    <row r="263" spans="1:18" x14ac:dyDescent="0.25">
      <c r="A263" s="2" t="str">
        <f>"SUR"&amp;TEXT(Table92[[#This Row],[Count]],"000")&amp;"."&amp;IF(Table92[[#This Row],[Category]]="Essential","E",IF(Table92[[#This Row],[Category]]="Discretionary","D","O"))</f>
        <v>SUR168.D</v>
      </c>
      <c r="B263" s="2">
        <f>MAX(Table89[Count])+ROWS(INDEX(Table92[Count],1):Table92[[#This Row],[Count]])</f>
        <v>168</v>
      </c>
      <c r="C263" s="5" t="s">
        <v>113</v>
      </c>
      <c r="D263" s="5" t="s">
        <v>2008</v>
      </c>
      <c r="E263" s="2" t="s">
        <v>18</v>
      </c>
      <c r="H263" s="2" t="s">
        <v>127</v>
      </c>
      <c r="I263" s="2" t="s">
        <v>127</v>
      </c>
      <c r="L263" s="2" t="s">
        <v>127</v>
      </c>
      <c r="M263" s="2" t="s">
        <v>127</v>
      </c>
    </row>
    <row r="264" spans="1:18" x14ac:dyDescent="0.25">
      <c r="A264" s="2" t="str">
        <f>"SUR"&amp;TEXT(Table92[[#This Row],[Count]],"000")&amp;"."&amp;IF(Table92[[#This Row],[Category]]="Essential","E",IF(Table92[[#This Row],[Category]]="Discretionary","D","O"))</f>
        <v>SUR169.E</v>
      </c>
      <c r="B264" s="2">
        <f>MAX(Table89[Count])+ROWS(INDEX(Table92[Count],1):Table92[[#This Row],[Count]])</f>
        <v>169</v>
      </c>
      <c r="C264" s="5" t="s">
        <v>113</v>
      </c>
      <c r="D264" s="5" t="s">
        <v>2009</v>
      </c>
      <c r="E264" s="2" t="s">
        <v>13</v>
      </c>
      <c r="F264" s="2" t="s">
        <v>127</v>
      </c>
      <c r="H264" s="2" t="s">
        <v>127</v>
      </c>
      <c r="I264" s="2" t="s">
        <v>127</v>
      </c>
      <c r="L264" s="2" t="s">
        <v>127</v>
      </c>
      <c r="M264" s="2" t="s">
        <v>127</v>
      </c>
      <c r="N264" s="2" t="s">
        <v>127</v>
      </c>
      <c r="O264" s="2" t="s">
        <v>127</v>
      </c>
      <c r="P264" s="2" t="s">
        <v>127</v>
      </c>
    </row>
    <row r="265" spans="1:18" x14ac:dyDescent="0.25">
      <c r="A265" s="2" t="str">
        <f>"SUR"&amp;TEXT(Table92[[#This Row],[Count]],"000")&amp;"."&amp;IF(Table92[[#This Row],[Category]]="Essential","E",IF(Table92[[#This Row],[Category]]="Discretionary","D","O"))</f>
        <v>SUR170.O</v>
      </c>
      <c r="B265" s="2">
        <f>MAX(Table89[Count])+ROWS(INDEX(Table92[Count],1):Table92[[#This Row],[Count]])</f>
        <v>170</v>
      </c>
      <c r="C265" s="5" t="s">
        <v>113</v>
      </c>
      <c r="D265" s="5" t="s">
        <v>2010</v>
      </c>
      <c r="E265" s="2" t="s">
        <v>23</v>
      </c>
      <c r="L265" s="2" t="s">
        <v>127</v>
      </c>
      <c r="R265" s="5" t="s">
        <v>1162</v>
      </c>
    </row>
    <row r="267" spans="1:18" x14ac:dyDescent="0.25">
      <c r="A267" s="58" t="s">
        <v>116</v>
      </c>
      <c r="B267" s="58"/>
      <c r="C267" s="58"/>
      <c r="D267" s="58"/>
      <c r="E267" s="58"/>
      <c r="F267" s="58"/>
      <c r="G267" s="58"/>
      <c r="H267" s="58"/>
      <c r="I267" s="58"/>
      <c r="J267" s="58"/>
      <c r="K267" s="58"/>
      <c r="L267" s="58"/>
      <c r="M267" s="58"/>
      <c r="N267" s="58"/>
      <c r="O267" s="58"/>
      <c r="P267" s="58"/>
      <c r="Q267" s="58"/>
      <c r="R267" s="58"/>
    </row>
    <row r="269" spans="1:18" x14ac:dyDescent="0.25">
      <c r="A269" s="6" t="s">
        <v>120</v>
      </c>
      <c r="B269" s="6" t="s">
        <v>121</v>
      </c>
      <c r="C269" s="7" t="s">
        <v>122</v>
      </c>
      <c r="D269" s="7" t="s">
        <v>123</v>
      </c>
      <c r="E269" s="6" t="s">
        <v>8</v>
      </c>
      <c r="F269" s="6" t="s">
        <v>124</v>
      </c>
      <c r="G269" s="6" t="s">
        <v>154</v>
      </c>
      <c r="H269" s="6" t="s">
        <v>155</v>
      </c>
      <c r="I269" s="6" t="s">
        <v>156</v>
      </c>
      <c r="J269" s="6" t="s">
        <v>157</v>
      </c>
      <c r="K269" s="6" t="s">
        <v>158</v>
      </c>
      <c r="L269" s="6" t="s">
        <v>159</v>
      </c>
      <c r="M269" s="6" t="s">
        <v>160</v>
      </c>
      <c r="N269" s="6" t="s">
        <v>161</v>
      </c>
      <c r="O269" s="6" t="s">
        <v>162</v>
      </c>
      <c r="P269" s="6" t="s">
        <v>163</v>
      </c>
      <c r="Q269" s="7" t="s">
        <v>164</v>
      </c>
      <c r="R269" s="7" t="s">
        <v>125</v>
      </c>
    </row>
    <row r="270" spans="1:18" ht="30" x14ac:dyDescent="0.25">
      <c r="A270" s="2" t="str">
        <f>"SUR"&amp;TEXT(Table93[[#This Row],[Count]],"000")&amp;"."&amp;IF(Table93[[#This Row],[Category]]="Essential","E",IF(Table93[[#This Row],[Category]]="Discretionary","D","O"))</f>
        <v>SUR151.E</v>
      </c>
      <c r="B270" s="2">
        <f>MAX(Table89[Count])+ROWS(INDEX(Table93[Count],1):Table93[[#This Row],[Count]])</f>
        <v>151</v>
      </c>
      <c r="C270" s="5" t="s">
        <v>116</v>
      </c>
      <c r="D270" s="5" t="s">
        <v>2011</v>
      </c>
      <c r="E270" s="2" t="s">
        <v>13</v>
      </c>
      <c r="F270" s="2" t="s">
        <v>2012</v>
      </c>
      <c r="G270" s="2" t="s">
        <v>2012</v>
      </c>
      <c r="H270" s="2" t="s">
        <v>2012</v>
      </c>
      <c r="I270" s="2" t="s">
        <v>2012</v>
      </c>
      <c r="J270" s="2" t="s">
        <v>2012</v>
      </c>
      <c r="K270" s="2" t="s">
        <v>2012</v>
      </c>
      <c r="L270" s="2" t="s">
        <v>127</v>
      </c>
      <c r="M270" s="2" t="s">
        <v>127</v>
      </c>
      <c r="N270" s="2" t="s">
        <v>2012</v>
      </c>
      <c r="O270" s="2" t="s">
        <v>2012</v>
      </c>
      <c r="P270" s="2" t="s">
        <v>2012</v>
      </c>
      <c r="Q270" s="5" t="s">
        <v>2012</v>
      </c>
      <c r="R270" s="5" t="s">
        <v>2012</v>
      </c>
    </row>
    <row r="271" spans="1:18" x14ac:dyDescent="0.25">
      <c r="A271" s="2" t="str">
        <f>"SUR"&amp;TEXT(Table93[[#This Row],[Count]],"000")&amp;"."&amp;IF(Table93[[#This Row],[Category]]="Essential","E",IF(Table93[[#This Row],[Category]]="Discretionary","D","O"))</f>
        <v>SUR152.D</v>
      </c>
      <c r="B271" s="2">
        <f>MAX(Table89[Count])+ROWS(INDEX(Table93[Count],1):Table93[[#This Row],[Count]])</f>
        <v>152</v>
      </c>
      <c r="C271" s="5" t="s">
        <v>116</v>
      </c>
      <c r="D271" s="5" t="s">
        <v>2013</v>
      </c>
      <c r="E271" s="2" t="s">
        <v>18</v>
      </c>
      <c r="F271" s="2" t="s">
        <v>2012</v>
      </c>
      <c r="G271" s="2" t="s">
        <v>127</v>
      </c>
      <c r="H271" s="2" t="s">
        <v>2012</v>
      </c>
      <c r="I271" s="2" t="s">
        <v>2012</v>
      </c>
      <c r="J271" s="2" t="s">
        <v>2012</v>
      </c>
      <c r="K271" s="2" t="s">
        <v>2012</v>
      </c>
      <c r="L271" s="2" t="s">
        <v>127</v>
      </c>
      <c r="M271" s="2" t="s">
        <v>127</v>
      </c>
      <c r="N271" s="2" t="s">
        <v>2012</v>
      </c>
      <c r="O271" s="2" t="s">
        <v>2012</v>
      </c>
      <c r="P271" s="2" t="s">
        <v>2012</v>
      </c>
      <c r="Q271" s="5" t="s">
        <v>2012</v>
      </c>
      <c r="R271" s="5" t="s">
        <v>2012</v>
      </c>
    </row>
    <row r="272" spans="1:18" ht="30" x14ac:dyDescent="0.25">
      <c r="A272" s="2" t="str">
        <f>"SUR"&amp;TEXT(Table93[[#This Row],[Count]],"000")&amp;"."&amp;IF(Table93[[#This Row],[Category]]="Essential","E",IF(Table93[[#This Row],[Category]]="Discretionary","D","O"))</f>
        <v>SUR153.D</v>
      </c>
      <c r="B272" s="2">
        <f>MAX(Table89[Count])+ROWS(INDEX(Table93[Count],1):Table93[[#This Row],[Count]])</f>
        <v>153</v>
      </c>
      <c r="C272" s="5" t="s">
        <v>116</v>
      </c>
      <c r="D272" s="5" t="s">
        <v>2014</v>
      </c>
      <c r="E272" s="2" t="s">
        <v>18</v>
      </c>
      <c r="F272" s="2" t="s">
        <v>2012</v>
      </c>
      <c r="G272" s="2" t="s">
        <v>2012</v>
      </c>
      <c r="H272" s="2" t="s">
        <v>2012</v>
      </c>
      <c r="I272" s="2" t="s">
        <v>2012</v>
      </c>
      <c r="J272" s="2" t="s">
        <v>2012</v>
      </c>
      <c r="K272" s="2" t="s">
        <v>2012</v>
      </c>
      <c r="L272" s="2" t="s">
        <v>127</v>
      </c>
      <c r="M272" s="2" t="s">
        <v>127</v>
      </c>
      <c r="N272" s="2" t="s">
        <v>127</v>
      </c>
      <c r="O272" s="2" t="s">
        <v>127</v>
      </c>
      <c r="P272" s="2" t="s">
        <v>127</v>
      </c>
      <c r="Q272" s="5" t="s">
        <v>127</v>
      </c>
      <c r="R272" s="5" t="s">
        <v>1380</v>
      </c>
    </row>
    <row r="273" spans="1:18" ht="30" x14ac:dyDescent="0.25">
      <c r="A273" s="2" t="str">
        <f>"SUR"&amp;TEXT(Table93[[#This Row],[Count]],"000")&amp;"."&amp;IF(Table93[[#This Row],[Category]]="Essential","E",IF(Table93[[#This Row],[Category]]="Discretionary","D","O"))</f>
        <v>SUR154.D</v>
      </c>
      <c r="B273" s="2">
        <f>MAX(Table89[Count])+ROWS(INDEX(Table93[Count],1):Table93[[#This Row],[Count]])</f>
        <v>154</v>
      </c>
      <c r="C273" s="5" t="s">
        <v>116</v>
      </c>
      <c r="D273" s="5" t="s">
        <v>2015</v>
      </c>
      <c r="E273" s="2" t="s">
        <v>18</v>
      </c>
      <c r="F273" s="2" t="s">
        <v>2012</v>
      </c>
      <c r="G273" s="2" t="s">
        <v>2012</v>
      </c>
      <c r="H273" s="2" t="s">
        <v>2012</v>
      </c>
      <c r="I273" s="2" t="s">
        <v>2012</v>
      </c>
      <c r="J273" s="2" t="s">
        <v>2012</v>
      </c>
      <c r="K273" s="2" t="s">
        <v>2012</v>
      </c>
      <c r="L273" s="2" t="s">
        <v>2012</v>
      </c>
      <c r="M273" s="2" t="s">
        <v>2012</v>
      </c>
      <c r="N273" s="2" t="s">
        <v>127</v>
      </c>
      <c r="O273" s="2" t="s">
        <v>127</v>
      </c>
      <c r="P273" s="2" t="s">
        <v>127</v>
      </c>
      <c r="Q273" s="5" t="s">
        <v>127</v>
      </c>
      <c r="R273" s="5" t="s">
        <v>2012</v>
      </c>
    </row>
    <row r="274" spans="1:18" ht="30" x14ac:dyDescent="0.25">
      <c r="A274" s="2" t="str">
        <f>"SUR"&amp;TEXT(Table93[[#This Row],[Count]],"000")&amp;"."&amp;IF(Table93[[#This Row],[Category]]="Essential","E",IF(Table93[[#This Row],[Category]]="Discretionary","D","O"))</f>
        <v>SUR155.E</v>
      </c>
      <c r="B274" s="2">
        <f>MAX(Table89[Count])+ROWS(INDEX(Table93[Count],1):Table93[[#This Row],[Count]])</f>
        <v>155</v>
      </c>
      <c r="C274" s="5" t="s">
        <v>116</v>
      </c>
      <c r="D274" s="5" t="s">
        <v>2016</v>
      </c>
      <c r="E274" s="2" t="s">
        <v>13</v>
      </c>
      <c r="F274" s="2" t="s">
        <v>2012</v>
      </c>
      <c r="G274" s="2" t="s">
        <v>2012</v>
      </c>
      <c r="H274" s="2" t="s">
        <v>2012</v>
      </c>
      <c r="I274" s="2" t="s">
        <v>2012</v>
      </c>
      <c r="J274" s="2" t="s">
        <v>2012</v>
      </c>
      <c r="K274" s="2" t="s">
        <v>2012</v>
      </c>
      <c r="L274" s="2" t="s">
        <v>2012</v>
      </c>
      <c r="M274" s="2" t="s">
        <v>2012</v>
      </c>
      <c r="N274" s="2" t="s">
        <v>2012</v>
      </c>
      <c r="O274" s="2" t="s">
        <v>127</v>
      </c>
      <c r="P274" s="2" t="s">
        <v>127</v>
      </c>
      <c r="Q274" s="5" t="s">
        <v>127</v>
      </c>
      <c r="R274" s="5" t="s">
        <v>2012</v>
      </c>
    </row>
    <row r="275" spans="1:18" x14ac:dyDescent="0.25">
      <c r="A275" s="2" t="str">
        <f>"SUR"&amp;TEXT(Table93[[#This Row],[Count]],"000")&amp;"."&amp;IF(Table93[[#This Row],[Category]]="Essential","E",IF(Table93[[#This Row],[Category]]="Discretionary","D","O"))</f>
        <v>SUR156.D</v>
      </c>
      <c r="B275" s="2">
        <f>MAX(Table89[Count])+ROWS(INDEX(Table93[Count],1):Table93[[#This Row],[Count]])</f>
        <v>156</v>
      </c>
      <c r="C275" s="5" t="s">
        <v>116</v>
      </c>
      <c r="D275" s="5" t="s">
        <v>2017</v>
      </c>
      <c r="E275" s="2" t="s">
        <v>18</v>
      </c>
      <c r="F275" s="2" t="s">
        <v>2012</v>
      </c>
      <c r="G275" s="2" t="s">
        <v>2012</v>
      </c>
      <c r="H275" s="2" t="s">
        <v>2012</v>
      </c>
      <c r="I275" s="2" t="s">
        <v>2012</v>
      </c>
      <c r="J275" s="2" t="s">
        <v>2012</v>
      </c>
      <c r="K275" s="2" t="s">
        <v>2012</v>
      </c>
      <c r="L275" s="2" t="s">
        <v>2012</v>
      </c>
      <c r="M275" s="2" t="s">
        <v>2012</v>
      </c>
      <c r="N275" s="2" t="s">
        <v>2012</v>
      </c>
      <c r="O275" s="2" t="s">
        <v>127</v>
      </c>
      <c r="P275" s="2" t="s">
        <v>127</v>
      </c>
      <c r="Q275" s="5" t="s">
        <v>127</v>
      </c>
      <c r="R275" s="5" t="s">
        <v>2012</v>
      </c>
    </row>
    <row r="276" spans="1:18" x14ac:dyDescent="0.25">
      <c r="A276" s="2" t="str">
        <f>"SUR"&amp;TEXT(Table93[[#This Row],[Count]],"000")&amp;"."&amp;IF(Table93[[#This Row],[Category]]="Essential","E",IF(Table93[[#This Row],[Category]]="Discretionary","D","O"))</f>
        <v>SUR157.D</v>
      </c>
      <c r="B276" s="2">
        <f>MAX(Table89[Count])+ROWS(INDEX(Table93[Count],1):Table93[[#This Row],[Count]])</f>
        <v>157</v>
      </c>
      <c r="C276" s="5" t="s">
        <v>116</v>
      </c>
      <c r="D276" s="5" t="s">
        <v>2018</v>
      </c>
      <c r="E276" s="2" t="s">
        <v>18</v>
      </c>
      <c r="F276" s="2" t="s">
        <v>2012</v>
      </c>
      <c r="G276" s="2" t="s">
        <v>2012</v>
      </c>
      <c r="H276" s="2" t="s">
        <v>2012</v>
      </c>
      <c r="I276" s="2" t="s">
        <v>2012</v>
      </c>
      <c r="J276" s="2" t="s">
        <v>2012</v>
      </c>
      <c r="K276" s="2" t="s">
        <v>2012</v>
      </c>
      <c r="L276" s="2" t="s">
        <v>2012</v>
      </c>
      <c r="M276" s="2" t="s">
        <v>2012</v>
      </c>
      <c r="N276" s="2" t="s">
        <v>2012</v>
      </c>
      <c r="O276" s="2" t="s">
        <v>2012</v>
      </c>
      <c r="P276" s="2" t="s">
        <v>127</v>
      </c>
      <c r="Q276" s="5" t="s">
        <v>127</v>
      </c>
      <c r="R276" s="5" t="s">
        <v>2012</v>
      </c>
    </row>
    <row r="277" spans="1:18" x14ac:dyDescent="0.25">
      <c r="A277" s="2" t="str">
        <f>"SUR"&amp;TEXT(Table93[[#This Row],[Count]],"000")&amp;"."&amp;IF(Table93[[#This Row],[Category]]="Essential","E",IF(Table93[[#This Row],[Category]]="Discretionary","D","O"))</f>
        <v>SUR158.D</v>
      </c>
      <c r="B277" s="2">
        <f>MAX(Table89[Count])+ROWS(INDEX(Table93[Count],1):Table93[[#This Row],[Count]])</f>
        <v>158</v>
      </c>
      <c r="C277" s="5" t="s">
        <v>116</v>
      </c>
      <c r="D277" s="5" t="s">
        <v>2019</v>
      </c>
      <c r="E277" s="2" t="s">
        <v>18</v>
      </c>
      <c r="F277" s="2" t="s">
        <v>2012</v>
      </c>
      <c r="G277" s="2" t="s">
        <v>2012</v>
      </c>
      <c r="H277" s="2" t="s">
        <v>2012</v>
      </c>
      <c r="I277" s="2" t="s">
        <v>2012</v>
      </c>
      <c r="J277" s="2" t="s">
        <v>2012</v>
      </c>
      <c r="K277" s="2" t="s">
        <v>2012</v>
      </c>
      <c r="L277" s="2" t="s">
        <v>2012</v>
      </c>
      <c r="M277" s="2" t="s">
        <v>2012</v>
      </c>
      <c r="N277" s="2" t="s">
        <v>2012</v>
      </c>
      <c r="O277" s="2" t="s">
        <v>127</v>
      </c>
      <c r="P277" s="2" t="s">
        <v>127</v>
      </c>
      <c r="Q277" s="5" t="s">
        <v>127</v>
      </c>
      <c r="R277" s="5" t="s">
        <v>2012</v>
      </c>
    </row>
    <row r="278" spans="1:18" ht="45" x14ac:dyDescent="0.25">
      <c r="A278" s="2" t="str">
        <f>"SUR"&amp;TEXT(Table93[[#This Row],[Count]],"000")&amp;"."&amp;IF(Table93[[#This Row],[Category]]="Essential","E",IF(Table93[[#This Row],[Category]]="Discretionary","D","O"))</f>
        <v>SUR159.E</v>
      </c>
      <c r="B278" s="2">
        <f>MAX(Table89[Count])+ROWS(INDEX(Table93[Count],1):Table93[[#This Row],[Count]])</f>
        <v>159</v>
      </c>
      <c r="C278" s="5" t="s">
        <v>116</v>
      </c>
      <c r="D278" s="5" t="s">
        <v>2020</v>
      </c>
      <c r="E278" s="2" t="s">
        <v>13</v>
      </c>
      <c r="N278" s="2" t="s">
        <v>127</v>
      </c>
      <c r="O278" s="2" t="s">
        <v>127</v>
      </c>
      <c r="P278" s="2" t="s">
        <v>127</v>
      </c>
      <c r="Q278" s="5" t="s">
        <v>127</v>
      </c>
      <c r="R278" s="5" t="s">
        <v>2021</v>
      </c>
    </row>
    <row r="279" spans="1:18" ht="30" x14ac:dyDescent="0.25">
      <c r="A279" s="2" t="str">
        <f>"SUR"&amp;TEXT(Table93[[#This Row],[Count]],"000")&amp;"."&amp;IF(Table93[[#This Row],[Category]]="Essential","E",IF(Table93[[#This Row],[Category]]="Discretionary","D","O"))</f>
        <v>SUR160.D</v>
      </c>
      <c r="B279" s="2">
        <f>MAX(Table89[Count])+ROWS(INDEX(Table93[Count],1):Table93[[#This Row],[Count]])</f>
        <v>160</v>
      </c>
      <c r="C279" s="5" t="s">
        <v>116</v>
      </c>
      <c r="D279" s="5" t="s">
        <v>2022</v>
      </c>
      <c r="E279" s="2" t="s">
        <v>18</v>
      </c>
      <c r="F279" s="2" t="s">
        <v>2012</v>
      </c>
      <c r="G279" s="2" t="s">
        <v>2012</v>
      </c>
      <c r="H279" s="2" t="s">
        <v>2012</v>
      </c>
      <c r="I279" s="2" t="s">
        <v>2012</v>
      </c>
      <c r="J279" s="2" t="s">
        <v>2012</v>
      </c>
      <c r="K279" s="2" t="s">
        <v>2012</v>
      </c>
      <c r="L279" s="2" t="s">
        <v>2012</v>
      </c>
      <c r="M279" s="2" t="s">
        <v>2012</v>
      </c>
      <c r="N279" s="2" t="s">
        <v>2012</v>
      </c>
      <c r="O279" s="2" t="s">
        <v>2012</v>
      </c>
      <c r="P279" s="2" t="s">
        <v>2012</v>
      </c>
      <c r="Q279" s="5" t="s">
        <v>2012</v>
      </c>
      <c r="R279" s="5" t="s">
        <v>2012</v>
      </c>
    </row>
    <row r="280" spans="1:18" ht="45" x14ac:dyDescent="0.25">
      <c r="A280" s="2" t="str">
        <f>"SUR"&amp;TEXT(Table93[[#This Row],[Count]],"000")&amp;"."&amp;IF(Table93[[#This Row],[Category]]="Essential","E",IF(Table93[[#This Row],[Category]]="Discretionary","D","O"))</f>
        <v>SUR161.E</v>
      </c>
      <c r="B280" s="2">
        <f>MAX(Table89[Count])+ROWS(INDEX(Table93[Count],1):Table93[[#This Row],[Count]])</f>
        <v>161</v>
      </c>
      <c r="C280" s="5" t="s">
        <v>116</v>
      </c>
      <c r="D280" s="5" t="s">
        <v>2023</v>
      </c>
      <c r="E280" s="2" t="s">
        <v>13</v>
      </c>
      <c r="F280" s="2" t="s">
        <v>2012</v>
      </c>
      <c r="G280" s="2" t="s">
        <v>2012</v>
      </c>
      <c r="H280" s="2" t="s">
        <v>2012</v>
      </c>
      <c r="I280" s="2" t="s">
        <v>2012</v>
      </c>
      <c r="J280" s="2" t="s">
        <v>2012</v>
      </c>
      <c r="K280" s="2" t="s">
        <v>2012</v>
      </c>
      <c r="L280" s="2" t="s">
        <v>127</v>
      </c>
      <c r="M280" s="2" t="s">
        <v>127</v>
      </c>
      <c r="N280" s="2" t="s">
        <v>127</v>
      </c>
      <c r="O280" s="2" t="s">
        <v>127</v>
      </c>
      <c r="P280" s="2" t="s">
        <v>127</v>
      </c>
      <c r="Q280" s="5" t="s">
        <v>127</v>
      </c>
      <c r="R280" s="5" t="s">
        <v>2012</v>
      </c>
    </row>
    <row r="281" spans="1:18" ht="30" x14ac:dyDescent="0.25">
      <c r="A281" s="2" t="str">
        <f>"SUR"&amp;TEXT(Table93[[#This Row],[Count]],"000")&amp;"."&amp;IF(Table93[[#This Row],[Category]]="Essential","E",IF(Table93[[#This Row],[Category]]="Discretionary","D","O"))</f>
        <v>SUR162.E</v>
      </c>
      <c r="B281" s="2">
        <f>MAX(Table89[Count])+ROWS(INDEX(Table93[Count],1):Table93[[#This Row],[Count]])</f>
        <v>162</v>
      </c>
      <c r="C281" s="5" t="s">
        <v>116</v>
      </c>
      <c r="D281" s="5" t="s">
        <v>2024</v>
      </c>
      <c r="E281" s="2" t="s">
        <v>13</v>
      </c>
      <c r="F281" s="2" t="s">
        <v>2012</v>
      </c>
      <c r="G281" s="2" t="s">
        <v>2012</v>
      </c>
      <c r="H281" s="2" t="s">
        <v>2012</v>
      </c>
      <c r="I281" s="2" t="s">
        <v>2012</v>
      </c>
      <c r="J281" s="2" t="s">
        <v>2012</v>
      </c>
      <c r="K281" s="2" t="s">
        <v>2012</v>
      </c>
      <c r="L281" s="2" t="s">
        <v>127</v>
      </c>
      <c r="M281" s="2" t="s">
        <v>127</v>
      </c>
      <c r="N281" s="2" t="s">
        <v>127</v>
      </c>
      <c r="O281" s="2" t="s">
        <v>127</v>
      </c>
      <c r="P281" s="2" t="s">
        <v>127</v>
      </c>
      <c r="Q281" s="5" t="s">
        <v>127</v>
      </c>
      <c r="R281" s="5" t="s">
        <v>2012</v>
      </c>
    </row>
    <row r="282" spans="1:18" x14ac:dyDescent="0.25">
      <c r="A282" s="2" t="str">
        <f>"SUR"&amp;TEXT(Table93[[#This Row],[Count]],"000")&amp;"."&amp;IF(Table93[[#This Row],[Category]]="Essential","E",IF(Table93[[#This Row],[Category]]="Discretionary","D","O"))</f>
        <v>SUR163.E</v>
      </c>
      <c r="B282" s="2">
        <f>MAX(Table89[Count])+ROWS(INDEX(Table93[Count],1):Table93[[#This Row],[Count]])</f>
        <v>163</v>
      </c>
      <c r="C282" s="5" t="s">
        <v>116</v>
      </c>
      <c r="D282" s="5" t="s">
        <v>2025</v>
      </c>
      <c r="E282" s="2" t="s">
        <v>13</v>
      </c>
      <c r="F282" s="2" t="s">
        <v>2012</v>
      </c>
      <c r="G282" s="2" t="s">
        <v>2012</v>
      </c>
      <c r="H282" s="2" t="s">
        <v>2012</v>
      </c>
      <c r="I282" s="2" t="s">
        <v>2012</v>
      </c>
      <c r="J282" s="2" t="s">
        <v>2012</v>
      </c>
      <c r="K282" s="2" t="s">
        <v>2012</v>
      </c>
      <c r="L282" s="2" t="s">
        <v>127</v>
      </c>
      <c r="M282" s="2" t="s">
        <v>127</v>
      </c>
      <c r="N282" s="2" t="s">
        <v>127</v>
      </c>
      <c r="O282" s="2" t="s">
        <v>127</v>
      </c>
      <c r="P282" s="2" t="s">
        <v>127</v>
      </c>
      <c r="Q282" s="5" t="s">
        <v>127</v>
      </c>
      <c r="R282" s="5" t="s">
        <v>2026</v>
      </c>
    </row>
  </sheetData>
  <mergeCells count="13">
    <mergeCell ref="A267:R267"/>
    <mergeCell ref="A1:R1"/>
    <mergeCell ref="A3:R3"/>
    <mergeCell ref="A27:R27"/>
    <mergeCell ref="A61:R61"/>
    <mergeCell ref="A99:R99"/>
    <mergeCell ref="A113:R113"/>
    <mergeCell ref="A139:R139"/>
    <mergeCell ref="A165:R165"/>
    <mergeCell ref="A181:R181"/>
    <mergeCell ref="A207:R207"/>
    <mergeCell ref="A243:R243"/>
    <mergeCell ref="A2:R2"/>
  </mergeCells>
  <conditionalFormatting sqref="E6:E167 E180:E392">
    <cfRule type="containsText" dxfId="6" priority="7" operator="containsText" text="Other">
      <formula>NOT(ISERROR(SEARCH("Other",E6)))</formula>
    </cfRule>
    <cfRule type="containsText" dxfId="5" priority="9" operator="containsText" text="Discretionary">
      <formula>NOT(ISERROR(SEARCH("Discretionary",E6)))</formula>
    </cfRule>
    <cfRule type="containsText" dxfId="4" priority="10" operator="containsText" text="Essential">
      <formula>NOT(ISERROR(SEARCH("Essential",E6)))</formula>
    </cfRule>
  </conditionalFormatting>
  <conditionalFormatting sqref="E168:E179">
    <cfRule type="containsText" dxfId="3" priority="1" operator="containsText" text="Other">
      <formula>NOT(ISERROR(SEARCH("Other",E168)))</formula>
    </cfRule>
    <cfRule type="containsText" dxfId="2" priority="2" operator="containsText" text="Discretionary">
      <formula>NOT(ISERROR(SEARCH("Discretionary",E168)))</formula>
    </cfRule>
    <cfRule type="containsText" dxfId="1" priority="3" operator="containsText" text="Essential">
      <formula>NOT(ISERROR(SEARCH("Essential",E168)))</formula>
    </cfRule>
  </conditionalFormatting>
  <conditionalFormatting sqref="F6:Q392">
    <cfRule type="containsText" dxfId="0" priority="11" operator="containsText" text="x">
      <formula>NOT(ISERROR(SEARCH("x",F6)))</formula>
    </cfRule>
  </conditionalFormatting>
  <dataValidations count="1">
    <dataValidation type="list" allowBlank="1" showInputMessage="1" showErrorMessage="1" sqref="E116:E138 E30:E60 E64:E98 E102:E111 E6:E26" xr:uid="{A7576C4E-DA4D-40F9-8A87-BF6D7DD1A892}">
      <formula1>Cats</formula1>
    </dataValidation>
  </dataValidations>
  <pageMargins left="0.7" right="0.7" top="0.75" bottom="0.75" header="0.3" footer="0.3"/>
  <pageSetup paperSize="9" scale="48" fitToHeight="0" orientation="landscape" r:id="rId1"/>
  <headerFooter>
    <oddFooter>&amp;C&amp;P</oddFooter>
  </headerFooter>
  <tableParts count="11">
    <tablePart r:id="rId2"/>
    <tablePart r:id="rId3"/>
    <tablePart r:id="rId4"/>
    <tablePart r:id="rId5"/>
    <tablePart r:id="rId6"/>
    <tablePart r:id="rId7"/>
    <tablePart r:id="rId8"/>
    <tablePart r:id="rId9"/>
    <tablePart r:id="rId10"/>
    <tablePart r:id="rId11"/>
    <tablePart r:id="rId1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ADE57-C099-43FC-8FA5-310485DDA7B9}">
  <dimension ref="D1:D4"/>
  <sheetViews>
    <sheetView workbookViewId="0">
      <selection activeCell="F20" sqref="F20"/>
    </sheetView>
  </sheetViews>
  <sheetFormatPr defaultRowHeight="15" x14ac:dyDescent="0.25"/>
  <sheetData>
    <row r="1" spans="4:4" x14ac:dyDescent="0.25">
      <c r="D1" t="s">
        <v>2027</v>
      </c>
    </row>
    <row r="2" spans="4:4" x14ac:dyDescent="0.25">
      <c r="D2" t="s">
        <v>13</v>
      </c>
    </row>
    <row r="3" spans="4:4" x14ac:dyDescent="0.25">
      <c r="D3" t="s">
        <v>18</v>
      </c>
    </row>
    <row r="4" spans="4:4" x14ac:dyDescent="0.25">
      <c r="D4"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488E3-411E-4547-8544-17AD0F3590C3}">
  <sheetPr>
    <pageSetUpPr fitToPage="1"/>
  </sheetPr>
  <dimension ref="A1:G21"/>
  <sheetViews>
    <sheetView view="pageLayout" topLeftCell="G5" zoomScale="80" zoomScaleNormal="90" zoomScalePageLayoutView="80" workbookViewId="0">
      <selection activeCell="H5" sqref="H1:H1048576"/>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85546875" style="2" bestFit="1" customWidth="1"/>
    <col min="6" max="6" width="8.7109375" style="2"/>
    <col min="7" max="7" width="112.5703125" style="1" customWidth="1"/>
    <col min="8" max="16" width="112.5703125" customWidth="1"/>
  </cols>
  <sheetData>
    <row r="1" spans="1:7" ht="31.5" x14ac:dyDescent="0.5">
      <c r="A1" s="57" t="s">
        <v>117</v>
      </c>
      <c r="B1" s="57"/>
      <c r="C1" s="57"/>
      <c r="D1" s="57"/>
      <c r="E1" s="57"/>
      <c r="F1" s="57"/>
      <c r="G1" s="57"/>
    </row>
    <row r="3" spans="1:7" x14ac:dyDescent="0.25">
      <c r="A3" s="58" t="s">
        <v>28</v>
      </c>
      <c r="B3" s="58"/>
      <c r="C3" s="58"/>
      <c r="D3" s="58"/>
      <c r="E3" s="58"/>
      <c r="F3" s="58"/>
      <c r="G3" s="58"/>
    </row>
    <row r="4" spans="1:7" x14ac:dyDescent="0.25">
      <c r="A4" s="20"/>
      <c r="B4" s="20"/>
      <c r="C4" s="20"/>
      <c r="D4" s="20"/>
      <c r="E4" s="20"/>
      <c r="F4" s="20"/>
      <c r="G4" s="20"/>
    </row>
    <row r="5" spans="1:7" x14ac:dyDescent="0.25">
      <c r="A5" s="66" t="s">
        <v>118</v>
      </c>
      <c r="B5" s="67"/>
      <c r="C5" s="67"/>
      <c r="D5" s="67"/>
      <c r="E5" s="67"/>
      <c r="F5" s="67"/>
      <c r="G5" s="67"/>
    </row>
    <row r="6" spans="1:7" x14ac:dyDescent="0.25">
      <c r="A6" s="66" t="s">
        <v>119</v>
      </c>
      <c r="B6" s="66"/>
      <c r="C6" s="66"/>
      <c r="D6" s="66"/>
      <c r="E6" s="66"/>
      <c r="F6" s="66"/>
      <c r="G6" s="66"/>
    </row>
    <row r="8" spans="1:7" x14ac:dyDescent="0.25">
      <c r="A8" s="3" t="s">
        <v>120</v>
      </c>
      <c r="B8" s="3" t="s">
        <v>121</v>
      </c>
      <c r="C8" s="4" t="s">
        <v>122</v>
      </c>
      <c r="D8" s="4" t="s">
        <v>123</v>
      </c>
      <c r="E8" s="4" t="s">
        <v>8</v>
      </c>
      <c r="F8" s="4" t="s">
        <v>124</v>
      </c>
      <c r="G8" s="4" t="s">
        <v>125</v>
      </c>
    </row>
    <row r="9" spans="1:7" ht="60" x14ac:dyDescent="0.25">
      <c r="A9" s="2" t="str">
        <f>"GEN"&amp;TEXT(Table179[[#This Row],[Count]],"000")&amp;"."&amp;IF(Table179[[#This Row],[Category]]="Essential","E",IF(Table179[[#This Row],[Category]]="Discretionary","D","O"))</f>
        <v>GEN001.O</v>
      </c>
      <c r="B9" s="2">
        <f>ROW()-ROW(Table179[[#Headers],[Count]])</f>
        <v>1</v>
      </c>
      <c r="C9" s="2" t="s">
        <v>28</v>
      </c>
      <c r="D9" s="5" t="s">
        <v>126</v>
      </c>
      <c r="E9" s="2" t="s">
        <v>23</v>
      </c>
      <c r="F9" s="2" t="s">
        <v>127</v>
      </c>
      <c r="G9" s="5" t="s">
        <v>128</v>
      </c>
    </row>
    <row r="10" spans="1:7" x14ac:dyDescent="0.25">
      <c r="A10" s="2" t="str">
        <f>"GEN"&amp;TEXT(Table179[[#This Row],[Count]],"000")&amp;"."&amp;IF(Table179[[#This Row],[Category]]="Essential","E",IF(Table179[[#This Row],[Category]]="Discretionary","D","O"))</f>
        <v>GEN002.O</v>
      </c>
      <c r="B10" s="2">
        <f>ROW()-ROW(Table179[[#Headers],[Count]])</f>
        <v>2</v>
      </c>
      <c r="C10" s="2" t="s">
        <v>28</v>
      </c>
      <c r="D10" s="5" t="s">
        <v>129</v>
      </c>
      <c r="E10" s="2" t="s">
        <v>23</v>
      </c>
      <c r="F10" s="2" t="s">
        <v>127</v>
      </c>
      <c r="G10" s="5" t="s">
        <v>130</v>
      </c>
    </row>
    <row r="11" spans="1:7" x14ac:dyDescent="0.25">
      <c r="A11" s="2" t="str">
        <f>"GEN"&amp;TEXT(Table179[[#This Row],[Count]],"000")&amp;"."&amp;IF(Table179[[#This Row],[Category]]="Essential","E",IF(Table179[[#This Row],[Category]]="Discretionary","D","O"))</f>
        <v>GEN003.O</v>
      </c>
      <c r="B11" s="2">
        <f>ROW()-ROW(Table179[[#Headers],[Count]])</f>
        <v>3</v>
      </c>
      <c r="C11" s="2" t="s">
        <v>28</v>
      </c>
      <c r="D11" s="5" t="s">
        <v>131</v>
      </c>
      <c r="E11" s="2" t="s">
        <v>23</v>
      </c>
      <c r="F11" s="2" t="s">
        <v>127</v>
      </c>
      <c r="G11" s="5" t="s">
        <v>132</v>
      </c>
    </row>
    <row r="12" spans="1:7" x14ac:dyDescent="0.25">
      <c r="A12" s="2" t="str">
        <f>"GEN"&amp;TEXT(Table179[[#This Row],[Count]],"000")&amp;"."&amp;IF(Table179[[#This Row],[Category]]="Essential","E",IF(Table179[[#This Row],[Category]]="Discretionary","D","O"))</f>
        <v>GEN004.O</v>
      </c>
      <c r="B12" s="2">
        <f>ROW()-ROW(Table179[[#Headers],[Count]])</f>
        <v>4</v>
      </c>
      <c r="C12" s="2" t="s">
        <v>28</v>
      </c>
      <c r="D12" s="5" t="s">
        <v>133</v>
      </c>
      <c r="E12" s="2" t="s">
        <v>23</v>
      </c>
      <c r="F12" s="2" t="s">
        <v>127</v>
      </c>
      <c r="G12" s="5" t="s">
        <v>132</v>
      </c>
    </row>
    <row r="13" spans="1:7" ht="30" x14ac:dyDescent="0.25">
      <c r="A13" s="2" t="str">
        <f>"GEN"&amp;TEXT(Table179[[#This Row],[Count]],"000")&amp;"."&amp;IF(Table179[[#This Row],[Category]]="Essential","E",IF(Table179[[#This Row],[Category]]="Discretionary","D","O"))</f>
        <v>GEN005.O</v>
      </c>
      <c r="B13" s="2">
        <f>ROW()-ROW(Table179[[#Headers],[Count]])</f>
        <v>5</v>
      </c>
      <c r="C13" s="2" t="s">
        <v>28</v>
      </c>
      <c r="D13" s="5" t="s">
        <v>134</v>
      </c>
      <c r="E13" s="2" t="s">
        <v>23</v>
      </c>
      <c r="F13" s="2" t="s">
        <v>127</v>
      </c>
      <c r="G13" s="5" t="s">
        <v>135</v>
      </c>
    </row>
    <row r="14" spans="1:7" x14ac:dyDescent="0.25">
      <c r="A14" s="2" t="str">
        <f>"GEN"&amp;TEXT(Table179[[#This Row],[Count]],"000")&amp;"."&amp;IF(Table179[[#This Row],[Category]]="Essential","E",IF(Table179[[#This Row],[Category]]="Discretionary","D","O"))</f>
        <v>GEN006.O</v>
      </c>
      <c r="B14" s="2">
        <f>ROW()-ROW(Table179[[#Headers],[Count]])</f>
        <v>6</v>
      </c>
      <c r="C14" s="2" t="s">
        <v>28</v>
      </c>
      <c r="D14" s="5" t="s">
        <v>136</v>
      </c>
      <c r="E14" s="2" t="s">
        <v>23</v>
      </c>
      <c r="F14" s="2" t="s">
        <v>127</v>
      </c>
      <c r="G14" s="5" t="s">
        <v>137</v>
      </c>
    </row>
    <row r="15" spans="1:7" x14ac:dyDescent="0.25">
      <c r="A15" s="2" t="str">
        <f>"GEN"&amp;TEXT(Table179[[#This Row],[Count]],"000")&amp;"."&amp;IF(Table179[[#This Row],[Category]]="Essential","E",IF(Table179[[#This Row],[Category]]="Discretionary","D","O"))</f>
        <v>GEN007.O</v>
      </c>
      <c r="B15" s="2">
        <f>ROW()-ROW(Table179[[#Headers],[Count]])</f>
        <v>7</v>
      </c>
      <c r="C15" s="2" t="s">
        <v>28</v>
      </c>
      <c r="D15" s="5" t="s">
        <v>138</v>
      </c>
      <c r="E15" s="2" t="s">
        <v>23</v>
      </c>
      <c r="F15" s="2" t="s">
        <v>127</v>
      </c>
      <c r="G15" s="5" t="s">
        <v>139</v>
      </c>
    </row>
    <row r="16" spans="1:7" x14ac:dyDescent="0.25">
      <c r="A16" s="2" t="str">
        <f>"GEN"&amp;TEXT(Table179[[#This Row],[Count]],"000")&amp;"."&amp;IF(Table179[[#This Row],[Category]]="Essential","E",IF(Table179[[#This Row],[Category]]="Discretionary","D","O"))</f>
        <v>GEN008.O</v>
      </c>
      <c r="B16" s="2">
        <f>ROW()-ROW(Table179[[#Headers],[Count]])</f>
        <v>8</v>
      </c>
      <c r="C16" s="2" t="s">
        <v>28</v>
      </c>
      <c r="D16" s="5" t="s">
        <v>140</v>
      </c>
      <c r="E16" s="2" t="s">
        <v>23</v>
      </c>
      <c r="F16" s="2" t="s">
        <v>127</v>
      </c>
      <c r="G16" s="5" t="s">
        <v>141</v>
      </c>
    </row>
    <row r="17" spans="1:7" ht="30" x14ac:dyDescent="0.25">
      <c r="A17" s="2" t="str">
        <f>"GEN"&amp;TEXT(Table179[[#This Row],[Count]],"000")&amp;"."&amp;IF(Table179[[#This Row],[Category]]="Essential","E",IF(Table179[[#This Row],[Category]]="Discretionary","D","O"))</f>
        <v>GEN009.O</v>
      </c>
      <c r="B17" s="2">
        <f>ROW()-ROW(Table179[[#Headers],[Count]])</f>
        <v>9</v>
      </c>
      <c r="C17" s="2" t="s">
        <v>28</v>
      </c>
      <c r="D17" s="5" t="s">
        <v>142</v>
      </c>
      <c r="E17" s="2" t="s">
        <v>23</v>
      </c>
      <c r="F17" s="2" t="s">
        <v>127</v>
      </c>
      <c r="G17" s="5" t="s">
        <v>143</v>
      </c>
    </row>
    <row r="18" spans="1:7" x14ac:dyDescent="0.25">
      <c r="A18" s="2" t="str">
        <f>"GEN"&amp;TEXT(Table179[[#This Row],[Count]],"000")&amp;"."&amp;IF(Table179[[#This Row],[Category]]="Essential","E",IF(Table179[[#This Row],[Category]]="Discretionary","D","O"))</f>
        <v>GEN010.O</v>
      </c>
      <c r="B18" s="2">
        <f>ROW()-ROW(Table179[[#Headers],[Count]])</f>
        <v>10</v>
      </c>
      <c r="C18" s="2" t="s">
        <v>28</v>
      </c>
      <c r="D18" s="5" t="s">
        <v>144</v>
      </c>
      <c r="E18" s="2" t="s">
        <v>23</v>
      </c>
      <c r="F18" s="2" t="s">
        <v>127</v>
      </c>
      <c r="G18" s="5" t="s">
        <v>145</v>
      </c>
    </row>
    <row r="19" spans="1:7" x14ac:dyDescent="0.25">
      <c r="A19" s="2" t="str">
        <f>"GEN"&amp;TEXT(Table179[[#This Row],[Count]],"000")&amp;"."&amp;IF(Table179[[#This Row],[Category]]="Essential","E",IF(Table179[[#This Row],[Category]]="Discretionary","D","O"))</f>
        <v>GEN011.O</v>
      </c>
      <c r="B19" s="2">
        <f>ROW()-ROW(Table179[[#Headers],[Count]])</f>
        <v>11</v>
      </c>
      <c r="C19" s="2" t="s">
        <v>28</v>
      </c>
      <c r="D19" s="5" t="s">
        <v>146</v>
      </c>
      <c r="E19" s="2" t="s">
        <v>23</v>
      </c>
      <c r="F19" s="2" t="s">
        <v>127</v>
      </c>
      <c r="G19" s="5" t="s">
        <v>147</v>
      </c>
    </row>
    <row r="20" spans="1:7" ht="30" x14ac:dyDescent="0.25">
      <c r="A20" s="2" t="str">
        <f>"GEN"&amp;TEXT(Table179[[#This Row],[Count]],"000")&amp;"."&amp;IF(Table179[[#This Row],[Category]]="Essential","E",IF(Table179[[#This Row],[Category]]="Discretionary","D","O"))</f>
        <v>GEN012.O</v>
      </c>
      <c r="B20" s="2">
        <f>ROW()-ROW(Table179[[#Headers],[Count]])</f>
        <v>12</v>
      </c>
      <c r="C20" s="2" t="s">
        <v>28</v>
      </c>
      <c r="D20" s="5" t="s">
        <v>148</v>
      </c>
      <c r="E20" s="2" t="s">
        <v>23</v>
      </c>
      <c r="F20" s="2" t="s">
        <v>127</v>
      </c>
      <c r="G20" s="5" t="s">
        <v>149</v>
      </c>
    </row>
    <row r="21" spans="1:7" ht="30" x14ac:dyDescent="0.25">
      <c r="A21" s="2" t="str">
        <f>"GEN"&amp;TEXT(Table179[[#This Row],[Count]],"000")&amp;"."&amp;IF(Table179[[#This Row],[Category]]="Essential","E",IF(Table179[[#This Row],[Category]]="Discretionary","D","O"))</f>
        <v>GEN013.O</v>
      </c>
      <c r="B21" s="2">
        <f>ROW()-ROW(Table179[[#Headers],[Count]])</f>
        <v>13</v>
      </c>
      <c r="C21" s="5" t="s">
        <v>28</v>
      </c>
      <c r="D21" s="5" t="s">
        <v>150</v>
      </c>
      <c r="E21" s="37" t="s">
        <v>23</v>
      </c>
      <c r="F21" s="37" t="s">
        <v>127</v>
      </c>
      <c r="G21" s="39" t="s">
        <v>151</v>
      </c>
    </row>
  </sheetData>
  <mergeCells count="4">
    <mergeCell ref="A6:G6"/>
    <mergeCell ref="A1:G1"/>
    <mergeCell ref="A3:G3"/>
    <mergeCell ref="A5:G5"/>
  </mergeCells>
  <conditionalFormatting sqref="E9:E426">
    <cfRule type="containsText" dxfId="234" priority="1" operator="containsText" text="Other">
      <formula>NOT(ISERROR(SEARCH("Other",E9)))</formula>
    </cfRule>
    <cfRule type="containsText" dxfId="233" priority="2" operator="containsText" text="Discretionary">
      <formula>NOT(ISERROR(SEARCH("Discretionary",E9)))</formula>
    </cfRule>
    <cfRule type="containsText" dxfId="232" priority="3" operator="containsText" text="Essential">
      <formula>NOT(ISERROR(SEARCH("Essential",E9)))</formula>
    </cfRule>
  </conditionalFormatting>
  <conditionalFormatting sqref="E21:F628 F9:F20">
    <cfRule type="containsText" dxfId="231" priority="4" operator="containsText" text="x">
      <formula>NOT(ISERROR(SEARCH("x",E9)))</formula>
    </cfRule>
  </conditionalFormatting>
  <dataValidations count="1">
    <dataValidation type="list" allowBlank="1" showInputMessage="1" showErrorMessage="1" sqref="E9:E21" xr:uid="{84639A2A-2470-4073-B227-8F5022634323}">
      <formula1>Cats</formula1>
    </dataValidation>
  </dataValidations>
  <pageMargins left="0.7" right="0.7" top="0.75" bottom="0.75" header="0.3" footer="0.3"/>
  <pageSetup paperSize="9" scale="61" fitToHeight="0"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6A65E-9D25-474F-BF5E-08AE66F63077}">
  <sheetPr>
    <pageSetUpPr fitToPage="1"/>
  </sheetPr>
  <dimension ref="A1:R88"/>
  <sheetViews>
    <sheetView view="pageLayout" topLeftCell="A34" zoomScaleNormal="90" workbookViewId="0">
      <selection activeCell="A53" sqref="A53"/>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85546875" style="2" bestFit="1" customWidth="1"/>
    <col min="6" max="16" width="9.140625" style="2"/>
    <col min="17" max="17" width="9.140625" style="1" customWidth="1"/>
    <col min="18" max="18" width="68.5703125" style="1" customWidth="1"/>
  </cols>
  <sheetData>
    <row r="1" spans="1:18" ht="31.5" x14ac:dyDescent="0.5">
      <c r="A1" s="57" t="s">
        <v>35</v>
      </c>
      <c r="B1" s="57"/>
      <c r="C1" s="57"/>
      <c r="D1" s="57"/>
      <c r="E1" s="57"/>
      <c r="F1" s="57"/>
      <c r="G1" s="57"/>
      <c r="H1" s="57"/>
      <c r="I1" s="57"/>
      <c r="J1" s="57"/>
      <c r="K1" s="57"/>
      <c r="L1" s="57"/>
      <c r="M1" s="57"/>
      <c r="N1" s="57"/>
      <c r="O1" s="57"/>
      <c r="P1" s="57"/>
      <c r="Q1" s="57"/>
      <c r="R1" s="57"/>
    </row>
    <row r="2" spans="1:18" ht="45" customHeight="1" x14ac:dyDescent="0.25">
      <c r="A2" s="68" t="s">
        <v>152</v>
      </c>
      <c r="B2" s="68"/>
      <c r="C2" s="68"/>
      <c r="D2" s="68"/>
      <c r="E2" s="68"/>
      <c r="F2" s="68"/>
      <c r="G2" s="68"/>
      <c r="H2" s="68"/>
      <c r="I2" s="68"/>
      <c r="J2" s="68"/>
      <c r="K2" s="68"/>
      <c r="L2" s="68"/>
      <c r="M2" s="68"/>
      <c r="N2" s="68"/>
      <c r="O2" s="68"/>
      <c r="P2" s="68"/>
      <c r="Q2" s="68"/>
      <c r="R2" s="68"/>
    </row>
    <row r="3" spans="1:18" x14ac:dyDescent="0.25">
      <c r="A3" s="58" t="s">
        <v>153</v>
      </c>
      <c r="B3" s="58"/>
      <c r="C3" s="58"/>
      <c r="D3" s="58"/>
      <c r="E3" s="58"/>
      <c r="F3" s="58"/>
      <c r="G3" s="58"/>
      <c r="H3" s="58"/>
      <c r="I3" s="58"/>
      <c r="J3" s="58"/>
      <c r="K3" s="58"/>
      <c r="L3" s="58"/>
      <c r="M3" s="58"/>
      <c r="N3" s="58"/>
      <c r="O3" s="58"/>
      <c r="P3" s="58"/>
      <c r="Q3" s="58"/>
      <c r="R3" s="58"/>
    </row>
    <row r="5" spans="1:18" x14ac:dyDescent="0.25">
      <c r="A5" s="3" t="s">
        <v>120</v>
      </c>
      <c r="B5" s="3"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ht="60" x14ac:dyDescent="0.25">
      <c r="A6" s="2" t="s">
        <v>165</v>
      </c>
      <c r="B6" s="2">
        <f ca="1">MAX(Table1[Count])+ROWS(INDEX(Table2[Count],1):Table2[[#This Row],[Count]])</f>
        <v>0</v>
      </c>
      <c r="C6" s="2" t="s">
        <v>153</v>
      </c>
      <c r="D6" s="5" t="s">
        <v>166</v>
      </c>
      <c r="E6" s="2" t="s">
        <v>13</v>
      </c>
      <c r="F6" s="2" t="s">
        <v>127</v>
      </c>
      <c r="Q6" s="2"/>
      <c r="R6" s="40" t="s">
        <v>167</v>
      </c>
    </row>
    <row r="7" spans="1:18" ht="45" x14ac:dyDescent="0.25">
      <c r="A7" s="2" t="s">
        <v>168</v>
      </c>
      <c r="B7" s="2">
        <f ca="1">MAX(Table1[Count])+ROWS(INDEX(Table2[Count],1):Table2[[#This Row],[Count]])</f>
        <v>0</v>
      </c>
      <c r="C7" s="2" t="s">
        <v>153</v>
      </c>
      <c r="D7" s="5" t="s">
        <v>169</v>
      </c>
      <c r="E7" s="2" t="s">
        <v>18</v>
      </c>
      <c r="F7" s="2" t="s">
        <v>127</v>
      </c>
      <c r="Q7" s="2"/>
      <c r="R7" s="5"/>
    </row>
    <row r="8" spans="1:18" x14ac:dyDescent="0.25">
      <c r="A8" s="2" t="s">
        <v>170</v>
      </c>
      <c r="B8" s="2">
        <f ca="1">MAX(Table1[Count])+ROWS(INDEX(Table2[Count],1):Table2[[#This Row],[Count]])</f>
        <v>0</v>
      </c>
      <c r="C8" s="2" t="s">
        <v>153</v>
      </c>
      <c r="D8" s="5" t="s">
        <v>171</v>
      </c>
      <c r="E8" s="2" t="s">
        <v>13</v>
      </c>
      <c r="F8" s="2" t="s">
        <v>127</v>
      </c>
      <c r="Q8" s="2"/>
      <c r="R8" s="5"/>
    </row>
    <row r="9" spans="1:18" ht="30" x14ac:dyDescent="0.25">
      <c r="A9" s="2" t="s">
        <v>172</v>
      </c>
      <c r="B9" s="2">
        <f ca="1">MAX(Table1[Count])+ROWS(INDEX(Table2[Count],1):Table2[[#This Row],[Count]])</f>
        <v>0</v>
      </c>
      <c r="C9" s="2" t="s">
        <v>153</v>
      </c>
      <c r="D9" s="5" t="s">
        <v>173</v>
      </c>
      <c r="E9" s="2" t="s">
        <v>18</v>
      </c>
      <c r="M9" s="2" t="s">
        <v>127</v>
      </c>
      <c r="N9" s="2" t="s">
        <v>127</v>
      </c>
      <c r="O9" s="2" t="s">
        <v>127</v>
      </c>
      <c r="P9" s="2" t="s">
        <v>127</v>
      </c>
      <c r="Q9" s="2"/>
      <c r="R9" s="5" t="s">
        <v>174</v>
      </c>
    </row>
    <row r="10" spans="1:18" ht="30" x14ac:dyDescent="0.25">
      <c r="A10" s="2" t="s">
        <v>175</v>
      </c>
      <c r="B10" s="2">
        <f ca="1">MAX(Table1[Count])+ROWS(INDEX(Table2[Count],1):Table2[[#This Row],[Count]])</f>
        <v>0</v>
      </c>
      <c r="C10" s="2" t="s">
        <v>153</v>
      </c>
      <c r="D10" s="5" t="s">
        <v>176</v>
      </c>
      <c r="E10" s="2" t="s">
        <v>18</v>
      </c>
      <c r="M10" s="2" t="s">
        <v>127</v>
      </c>
      <c r="N10" s="2" t="s">
        <v>127</v>
      </c>
      <c r="O10" s="2" t="s">
        <v>127</v>
      </c>
      <c r="P10" s="2" t="s">
        <v>127</v>
      </c>
      <c r="Q10" s="2"/>
      <c r="R10" s="5" t="s">
        <v>174</v>
      </c>
    </row>
    <row r="11" spans="1:18" ht="30" x14ac:dyDescent="0.25">
      <c r="A11" s="2" t="s">
        <v>177</v>
      </c>
      <c r="B11" s="2">
        <f ca="1">MAX(Table1[Count])+ROWS(INDEX(Table2[Count],1):Table2[[#This Row],[Count]])</f>
        <v>0</v>
      </c>
      <c r="C11" s="2" t="s">
        <v>153</v>
      </c>
      <c r="D11" s="5" t="s">
        <v>178</v>
      </c>
      <c r="E11" s="2" t="s">
        <v>18</v>
      </c>
      <c r="F11" s="2" t="s">
        <v>127</v>
      </c>
      <c r="Q11" s="2"/>
      <c r="R11" s="5"/>
    </row>
    <row r="12" spans="1:18" ht="75" x14ac:dyDescent="0.25">
      <c r="A12" s="2" t="s">
        <v>179</v>
      </c>
      <c r="B12" s="2">
        <f ca="1">MAX(Table1[Count])+ROWS(INDEX(Table2[Count],1):Table2[[#This Row],[Count]])</f>
        <v>0</v>
      </c>
      <c r="C12" s="2" t="s">
        <v>153</v>
      </c>
      <c r="D12" s="5" t="s">
        <v>180</v>
      </c>
      <c r="E12" s="2" t="s">
        <v>18</v>
      </c>
      <c r="G12" s="2" t="s">
        <v>127</v>
      </c>
      <c r="H12" s="2" t="s">
        <v>127</v>
      </c>
      <c r="I12" s="2" t="s">
        <v>127</v>
      </c>
      <c r="M12" s="2" t="s">
        <v>127</v>
      </c>
      <c r="N12" s="2" t="s">
        <v>127</v>
      </c>
      <c r="O12" s="2" t="s">
        <v>127</v>
      </c>
      <c r="P12" s="2" t="s">
        <v>127</v>
      </c>
      <c r="Q12" s="2" t="s">
        <v>127</v>
      </c>
      <c r="R12" s="5" t="s">
        <v>181</v>
      </c>
    </row>
    <row r="13" spans="1:18" x14ac:dyDescent="0.25">
      <c r="A13" s="2" t="s">
        <v>182</v>
      </c>
      <c r="B13" s="2">
        <f ca="1">MAX(Table1[Count])+ROWS(INDEX(Table2[Count],1):Table2[[#This Row],[Count]])</f>
        <v>0</v>
      </c>
      <c r="C13" s="2" t="s">
        <v>153</v>
      </c>
      <c r="D13" s="5" t="s">
        <v>183</v>
      </c>
      <c r="E13" s="2" t="s">
        <v>13</v>
      </c>
      <c r="G13" s="2" t="s">
        <v>127</v>
      </c>
      <c r="H13" s="2" t="s">
        <v>127</v>
      </c>
      <c r="I13" s="2" t="s">
        <v>127</v>
      </c>
      <c r="Q13" s="2"/>
      <c r="R13" s="5"/>
    </row>
    <row r="14" spans="1:18" ht="45" x14ac:dyDescent="0.25">
      <c r="A14" s="2" t="s">
        <v>184</v>
      </c>
      <c r="B14" s="2">
        <f ca="1">MAX(Table1[Count])+ROWS(INDEX(Table2[Count],1):Table2[[#This Row],[Count]])</f>
        <v>0</v>
      </c>
      <c r="C14" s="2" t="s">
        <v>153</v>
      </c>
      <c r="D14" s="5" t="s">
        <v>185</v>
      </c>
      <c r="E14" s="2" t="s">
        <v>18</v>
      </c>
      <c r="F14" s="2" t="s">
        <v>127</v>
      </c>
      <c r="Q14" s="2"/>
      <c r="R14" s="5" t="s">
        <v>186</v>
      </c>
    </row>
    <row r="15" spans="1:18" ht="45" x14ac:dyDescent="0.25">
      <c r="A15" s="2" t="s">
        <v>187</v>
      </c>
      <c r="B15" s="2">
        <f ca="1">MAX(Table1[Count])+ROWS(INDEX(Table2[Count],1):Table2[[#This Row],[Count]])</f>
        <v>0</v>
      </c>
      <c r="C15" s="2" t="s">
        <v>153</v>
      </c>
      <c r="D15" s="5" t="s">
        <v>188</v>
      </c>
      <c r="E15" s="2" t="s">
        <v>18</v>
      </c>
      <c r="M15" s="2" t="s">
        <v>127</v>
      </c>
      <c r="N15" s="2" t="s">
        <v>127</v>
      </c>
      <c r="O15" s="2" t="s">
        <v>127</v>
      </c>
      <c r="P15" s="2" t="s">
        <v>127</v>
      </c>
      <c r="Q15" s="2" t="s">
        <v>127</v>
      </c>
      <c r="R15" s="5"/>
    </row>
    <row r="16" spans="1:18" ht="30" x14ac:dyDescent="0.25">
      <c r="A16" s="2" t="s">
        <v>189</v>
      </c>
      <c r="B16" s="2">
        <f ca="1">MAX(Table1[Count])+ROWS(INDEX(Table2[Count],1):Table2[[#This Row],[Count]])</f>
        <v>0</v>
      </c>
      <c r="C16" s="2" t="s">
        <v>153</v>
      </c>
      <c r="D16" s="5" t="s">
        <v>190</v>
      </c>
      <c r="E16" s="2" t="s">
        <v>13</v>
      </c>
      <c r="F16" s="2" t="s">
        <v>127</v>
      </c>
      <c r="Q16" s="2"/>
      <c r="R16" s="5"/>
    </row>
    <row r="17" spans="1:18" x14ac:dyDescent="0.25">
      <c r="A17" s="2" t="s">
        <v>191</v>
      </c>
      <c r="B17" s="2">
        <f ca="1">MAX(Table1[Count])+ROWS(INDEX(Table2[Count],1):Table2[[#This Row],[Count]])</f>
        <v>0</v>
      </c>
      <c r="C17" s="2" t="s">
        <v>153</v>
      </c>
      <c r="D17" s="5" t="s">
        <v>192</v>
      </c>
      <c r="E17" s="2" t="s">
        <v>18</v>
      </c>
      <c r="I17" s="2" t="s">
        <v>127</v>
      </c>
      <c r="M17" s="2" t="s">
        <v>127</v>
      </c>
      <c r="N17" s="2" t="s">
        <v>127</v>
      </c>
      <c r="O17" s="2" t="s">
        <v>127</v>
      </c>
      <c r="P17" s="2" t="s">
        <v>127</v>
      </c>
      <c r="Q17" s="2"/>
      <c r="R17" s="5" t="s">
        <v>193</v>
      </c>
    </row>
    <row r="18" spans="1:18" x14ac:dyDescent="0.25">
      <c r="A18" s="2" t="s">
        <v>194</v>
      </c>
      <c r="B18" s="2">
        <f ca="1">MAX(Table1[Count])+ROWS(INDEX(Table2[Count],1):Table2[[#This Row],[Count]])</f>
        <v>0</v>
      </c>
      <c r="C18" s="2" t="s">
        <v>153</v>
      </c>
      <c r="D18" s="5" t="s">
        <v>195</v>
      </c>
      <c r="E18" s="2" t="s">
        <v>18</v>
      </c>
      <c r="M18" s="2" t="s">
        <v>127</v>
      </c>
      <c r="N18" s="2" t="s">
        <v>127</v>
      </c>
      <c r="O18" s="2" t="s">
        <v>127</v>
      </c>
      <c r="P18" s="2" t="s">
        <v>127</v>
      </c>
      <c r="Q18" s="2"/>
      <c r="R18" s="5" t="s">
        <v>196</v>
      </c>
    </row>
    <row r="19" spans="1:18" ht="45" x14ac:dyDescent="0.25">
      <c r="A19" s="2" t="s">
        <v>197</v>
      </c>
      <c r="B19" s="2">
        <f ca="1">MAX(Table1[Count])+ROWS(INDEX(Table2[Count],1):Table2[[#This Row],[Count]])</f>
        <v>0</v>
      </c>
      <c r="C19" s="2" t="s">
        <v>153</v>
      </c>
      <c r="D19" s="5" t="s">
        <v>198</v>
      </c>
      <c r="E19" s="2" t="s">
        <v>13</v>
      </c>
      <c r="F19" s="2" t="s">
        <v>127</v>
      </c>
      <c r="Q19" s="2"/>
      <c r="R19" s="5" t="s">
        <v>199</v>
      </c>
    </row>
    <row r="20" spans="1:18" ht="30" x14ac:dyDescent="0.25">
      <c r="A20" s="2" t="s">
        <v>200</v>
      </c>
      <c r="B20" s="2">
        <f ca="1">MAX(Table1[Count])+ROWS(INDEX(Table2[Count],1):Table2[[#This Row],[Count]])</f>
        <v>0</v>
      </c>
      <c r="C20" s="2" t="s">
        <v>153</v>
      </c>
      <c r="D20" s="5" t="s">
        <v>201</v>
      </c>
      <c r="E20" s="2" t="s">
        <v>13</v>
      </c>
      <c r="M20" s="2" t="s">
        <v>127</v>
      </c>
      <c r="N20" s="2" t="s">
        <v>127</v>
      </c>
      <c r="O20" s="2" t="s">
        <v>127</v>
      </c>
      <c r="P20" s="2" t="s">
        <v>127</v>
      </c>
      <c r="Q20" s="2" t="s">
        <v>127</v>
      </c>
      <c r="R20" s="5" t="s">
        <v>202</v>
      </c>
    </row>
    <row r="21" spans="1:18" x14ac:dyDescent="0.25">
      <c r="A21" s="2" t="s">
        <v>203</v>
      </c>
      <c r="B21" s="2">
        <f ca="1">MAX(Table1[Count])+ROWS(INDEX(Table2[Count],1):Table2[[#This Row],[Count]])</f>
        <v>0</v>
      </c>
      <c r="C21" s="2" t="s">
        <v>153</v>
      </c>
      <c r="D21" s="5" t="s">
        <v>204</v>
      </c>
      <c r="E21" s="2" t="s">
        <v>13</v>
      </c>
      <c r="F21" s="2" t="s">
        <v>127</v>
      </c>
      <c r="Q21" s="2"/>
      <c r="R21" s="5"/>
    </row>
    <row r="22" spans="1:18" ht="30" x14ac:dyDescent="0.25">
      <c r="A22" s="2" t="s">
        <v>205</v>
      </c>
      <c r="B22" s="2">
        <f ca="1">MAX(Table1[Count])+ROWS(INDEX(Table2[Count],1):Table2[[#This Row],[Count]])</f>
        <v>0</v>
      </c>
      <c r="C22" s="37" t="s">
        <v>153</v>
      </c>
      <c r="D22" s="5" t="s">
        <v>206</v>
      </c>
      <c r="E22" s="2" t="s">
        <v>18</v>
      </c>
      <c r="F22" s="19"/>
      <c r="G22" s="19"/>
      <c r="H22" s="19" t="s">
        <v>127</v>
      </c>
      <c r="I22" s="19" t="s">
        <v>127</v>
      </c>
      <c r="J22" s="19"/>
      <c r="K22" s="19"/>
      <c r="L22" s="19"/>
      <c r="M22" s="19" t="s">
        <v>127</v>
      </c>
      <c r="N22" s="19" t="s">
        <v>127</v>
      </c>
      <c r="O22" s="19" t="s">
        <v>127</v>
      </c>
      <c r="P22" s="19" t="s">
        <v>127</v>
      </c>
      <c r="Q22" s="19"/>
      <c r="R22" s="23" t="s">
        <v>207</v>
      </c>
    </row>
    <row r="23" spans="1:18" x14ac:dyDescent="0.25">
      <c r="A23" s="2" t="s">
        <v>208</v>
      </c>
      <c r="B23" s="2">
        <f ca="1">MAX(Table1[Count])+ROWS(INDEX(Table2[Count],1):Table2[[#This Row],[Count]])</f>
        <v>0</v>
      </c>
      <c r="C23" s="5" t="s">
        <v>153</v>
      </c>
      <c r="D23" s="5" t="s">
        <v>209</v>
      </c>
      <c r="E23" s="5" t="s">
        <v>18</v>
      </c>
      <c r="F23" s="23"/>
      <c r="G23" s="23"/>
      <c r="H23" s="23"/>
      <c r="I23" s="23"/>
      <c r="J23" s="23"/>
      <c r="K23" s="23"/>
      <c r="L23" s="23"/>
      <c r="M23" s="23"/>
      <c r="N23" s="23" t="s">
        <v>127</v>
      </c>
      <c r="O23" s="23" t="s">
        <v>127</v>
      </c>
      <c r="P23" s="23" t="s">
        <v>127</v>
      </c>
      <c r="Q23" s="23"/>
      <c r="R23" s="23" t="s">
        <v>210</v>
      </c>
    </row>
    <row r="24" spans="1:18" x14ac:dyDescent="0.25">
      <c r="A24" s="2" t="s">
        <v>211</v>
      </c>
      <c r="B24" s="2">
        <f ca="1">MAX(Table1[Count])+ROWS(INDEX(Table2[Count],1):Table2[[#This Row],[Count]])</f>
        <v>0</v>
      </c>
      <c r="C24" s="24" t="s">
        <v>153</v>
      </c>
      <c r="D24" s="2" t="s">
        <v>212</v>
      </c>
      <c r="E24" s="25" t="s">
        <v>18</v>
      </c>
      <c r="F24" s="19"/>
      <c r="G24" s="19"/>
      <c r="H24" s="19"/>
      <c r="I24" s="19"/>
      <c r="J24" s="19"/>
      <c r="K24" s="19"/>
      <c r="L24" s="19"/>
      <c r="M24" s="26" t="s">
        <v>127</v>
      </c>
      <c r="N24" s="26" t="s">
        <v>127</v>
      </c>
      <c r="O24" s="26" t="s">
        <v>127</v>
      </c>
      <c r="P24" s="26" t="s">
        <v>127</v>
      </c>
      <c r="Q24" s="27"/>
      <c r="R24" s="23" t="s">
        <v>213</v>
      </c>
    </row>
    <row r="25" spans="1:18" ht="30" x14ac:dyDescent="0.25">
      <c r="A25" s="2" t="s">
        <v>214</v>
      </c>
      <c r="B25" s="2">
        <f ca="1">MAX(Table1[Count])+ROWS(INDEX(Table2[Count],1):Table2[[#This Row],[Count]])</f>
        <v>0</v>
      </c>
      <c r="C25" s="24" t="s">
        <v>153</v>
      </c>
      <c r="D25" s="5" t="s">
        <v>215</v>
      </c>
      <c r="E25" s="5" t="s">
        <v>18</v>
      </c>
      <c r="F25" s="19"/>
      <c r="G25" s="19"/>
      <c r="H25" s="19" t="s">
        <v>127</v>
      </c>
      <c r="I25" s="19" t="s">
        <v>127</v>
      </c>
      <c r="J25" s="19"/>
      <c r="K25" s="19"/>
      <c r="L25" s="19"/>
      <c r="M25" s="19" t="s">
        <v>127</v>
      </c>
      <c r="N25" s="19" t="s">
        <v>127</v>
      </c>
      <c r="O25" s="19" t="s">
        <v>127</v>
      </c>
      <c r="P25" s="19" t="s">
        <v>127</v>
      </c>
      <c r="Q25" s="27"/>
      <c r="R25" s="23" t="s">
        <v>207</v>
      </c>
    </row>
    <row r="26" spans="1:18" ht="60" x14ac:dyDescent="0.25">
      <c r="A26" s="2" t="s">
        <v>216</v>
      </c>
      <c r="B26" s="2">
        <f ca="1">MAX(Table1[Count])+ROWS(INDEX(Table2[Count],1):Table2[[#This Row],[Count]])</f>
        <v>0</v>
      </c>
      <c r="C26" s="50" t="s">
        <v>153</v>
      </c>
      <c r="D26" s="5" t="s">
        <v>217</v>
      </c>
      <c r="E26" s="5" t="s">
        <v>13</v>
      </c>
      <c r="F26" s="5" t="s">
        <v>127</v>
      </c>
      <c r="G26" s="5"/>
      <c r="H26" s="5"/>
      <c r="I26" s="5"/>
      <c r="J26" s="5"/>
      <c r="K26" s="5"/>
      <c r="L26" s="5"/>
      <c r="M26" s="5"/>
      <c r="N26" s="5"/>
      <c r="O26" s="5"/>
      <c r="P26" s="5"/>
      <c r="Q26" s="5"/>
      <c r="R26" s="5" t="s">
        <v>218</v>
      </c>
    </row>
    <row r="27" spans="1:18" ht="60" x14ac:dyDescent="0.25">
      <c r="A27" s="2" t="s">
        <v>219</v>
      </c>
      <c r="B27" s="2">
        <f ca="1">MAX(Table1[Count])+ROWS(INDEX(Table2[Count],1):Table2[[#This Row],[Count]])</f>
        <v>0</v>
      </c>
      <c r="C27" s="50" t="s">
        <v>153</v>
      </c>
      <c r="D27" s="5" t="s">
        <v>220</v>
      </c>
      <c r="E27" s="5" t="s">
        <v>13</v>
      </c>
      <c r="F27" s="5" t="s">
        <v>127</v>
      </c>
      <c r="G27" s="5"/>
      <c r="H27" s="5"/>
      <c r="I27" s="5"/>
      <c r="J27" s="5"/>
      <c r="K27" s="5"/>
      <c r="L27" s="5"/>
      <c r="M27" s="5"/>
      <c r="N27" s="5"/>
      <c r="O27" s="5"/>
      <c r="P27" s="5"/>
      <c r="Q27" s="5"/>
      <c r="R27" s="5" t="s">
        <v>218</v>
      </c>
    </row>
    <row r="28" spans="1:18" x14ac:dyDescent="0.25">
      <c r="A28" s="2" t="s">
        <v>221</v>
      </c>
      <c r="B28" s="2">
        <f ca="1">MAX(Table1[Count])+ROWS(INDEX(Table2[Count],1):Table2[[#This Row],[Count]])</f>
        <v>25</v>
      </c>
      <c r="C28" s="50" t="s">
        <v>153</v>
      </c>
      <c r="D28" s="5" t="s">
        <v>222</v>
      </c>
      <c r="E28" s="5" t="s">
        <v>13</v>
      </c>
      <c r="F28" s="5" t="s">
        <v>127</v>
      </c>
      <c r="G28" s="5"/>
      <c r="H28" s="5"/>
      <c r="I28" s="5"/>
      <c r="J28" s="5"/>
      <c r="K28" s="5"/>
      <c r="L28" s="5"/>
      <c r="M28" s="5"/>
      <c r="N28" s="5"/>
      <c r="O28" s="5"/>
      <c r="P28" s="5"/>
      <c r="Q28" s="5"/>
      <c r="R28" s="5" t="s">
        <v>223</v>
      </c>
    </row>
    <row r="30" spans="1:18" x14ac:dyDescent="0.25">
      <c r="A30" s="58" t="s">
        <v>224</v>
      </c>
      <c r="B30" s="58"/>
      <c r="C30" s="58"/>
      <c r="D30" s="58"/>
      <c r="E30" s="58"/>
      <c r="F30" s="58"/>
      <c r="G30" s="58"/>
      <c r="H30" s="58"/>
      <c r="I30" s="58"/>
      <c r="J30" s="58"/>
      <c r="K30" s="58"/>
      <c r="L30" s="58"/>
      <c r="M30" s="58"/>
      <c r="N30" s="58"/>
      <c r="O30" s="58"/>
      <c r="P30" s="58"/>
      <c r="Q30" s="58"/>
      <c r="R30" s="58"/>
    </row>
    <row r="32" spans="1:18" x14ac:dyDescent="0.25">
      <c r="A32" s="6" t="s">
        <v>120</v>
      </c>
      <c r="B32" s="6" t="s">
        <v>121</v>
      </c>
      <c r="C32" s="6" t="s">
        <v>122</v>
      </c>
      <c r="D32" s="7" t="s">
        <v>123</v>
      </c>
      <c r="E32" s="6" t="s">
        <v>8</v>
      </c>
      <c r="F32" s="6" t="s">
        <v>124</v>
      </c>
      <c r="G32" s="6" t="s">
        <v>154</v>
      </c>
      <c r="H32" s="6" t="s">
        <v>155</v>
      </c>
      <c r="I32" s="6" t="s">
        <v>156</v>
      </c>
      <c r="J32" s="6" t="s">
        <v>157</v>
      </c>
      <c r="K32" s="6" t="s">
        <v>158</v>
      </c>
      <c r="L32" s="6" t="s">
        <v>159</v>
      </c>
      <c r="M32" s="6" t="s">
        <v>160</v>
      </c>
      <c r="N32" s="6" t="s">
        <v>161</v>
      </c>
      <c r="O32" s="6" t="s">
        <v>162</v>
      </c>
      <c r="P32" s="6" t="s">
        <v>163</v>
      </c>
      <c r="Q32" s="6" t="s">
        <v>164</v>
      </c>
      <c r="R32" s="7" t="s">
        <v>125</v>
      </c>
    </row>
    <row r="33" spans="1:18" x14ac:dyDescent="0.25">
      <c r="A33" s="2" t="str">
        <f ca="1">"ANA"&amp;TEXT(Table2[[#This Row],[Count]],"000")&amp;"."&amp;IF(Table2[[#This Row],[Category]]="Essential","E",IF(Table2[[#This Row],[Category]]="Discretionary","D","O"))</f>
        <v>ANA024.D</v>
      </c>
      <c r="B33" s="5">
        <f ca="1">MAX(Table1[Count])+ROWS(INDEX(Table2[Count],1):Table2[[#This Row],[Count]])</f>
        <v>24</v>
      </c>
      <c r="C33" s="5" t="s">
        <v>224</v>
      </c>
      <c r="D33" s="5" t="s">
        <v>225</v>
      </c>
      <c r="E33" s="5" t="s">
        <v>18</v>
      </c>
      <c r="F33" s="5"/>
      <c r="G33" s="5"/>
      <c r="H33" s="5"/>
      <c r="I33" s="5"/>
      <c r="J33" s="5"/>
      <c r="K33" s="5"/>
      <c r="L33" s="5"/>
      <c r="M33" s="5"/>
      <c r="N33" s="5"/>
      <c r="O33" s="5" t="s">
        <v>127</v>
      </c>
      <c r="P33" s="5" t="s">
        <v>127</v>
      </c>
      <c r="Q33" s="5"/>
      <c r="R33" s="5" t="s">
        <v>226</v>
      </c>
    </row>
    <row r="34" spans="1:18" ht="60" x14ac:dyDescent="0.25">
      <c r="A34" s="2" t="str">
        <f ca="1">"ANA"&amp;TEXT(Table2[[#This Row],[Count]],"000")&amp;"."&amp;IF(Table2[[#This Row],[Category]]="Essential","E",IF(Table2[[#This Row],[Category]]="Discretionary","D","O"))</f>
        <v>ANA026.E</v>
      </c>
      <c r="B34" s="5">
        <f ca="1">MAX(Table1[Count])+ROWS(INDEX(Table2[Count],1):Table2[[#This Row],[Count]])</f>
        <v>26</v>
      </c>
      <c r="C34" s="5" t="s">
        <v>224</v>
      </c>
      <c r="D34" s="5" t="s">
        <v>227</v>
      </c>
      <c r="E34" s="5" t="s">
        <v>13</v>
      </c>
      <c r="F34" s="5" t="s">
        <v>127</v>
      </c>
      <c r="G34" s="5"/>
      <c r="H34" s="5"/>
      <c r="I34" s="5"/>
      <c r="J34" s="5"/>
      <c r="K34" s="5"/>
      <c r="L34" s="5"/>
      <c r="M34" s="5"/>
      <c r="N34" s="5"/>
      <c r="O34" s="5"/>
      <c r="P34" s="5"/>
      <c r="Q34" s="5"/>
      <c r="R34" s="5" t="s">
        <v>218</v>
      </c>
    </row>
    <row r="35" spans="1:18" ht="45" x14ac:dyDescent="0.25">
      <c r="A35" s="2" t="str">
        <f ca="1">"ANA"&amp;TEXT(Table2[[#This Row],[Count]],"000")&amp;"."&amp;IF(Table2[[#This Row],[Category]]="Essential","E",IF(Table2[[#This Row],[Category]]="Discretionary","D","O"))</f>
        <v>ANA027.D</v>
      </c>
      <c r="B35" s="5">
        <f ca="1">MAX(Table1[Count])+ROWS(INDEX(Table2[Count],1):Table2[[#This Row],[Count]])</f>
        <v>27</v>
      </c>
      <c r="C35" s="5" t="s">
        <v>224</v>
      </c>
      <c r="D35" s="5" t="s">
        <v>228</v>
      </c>
      <c r="E35" s="5" t="s">
        <v>18</v>
      </c>
      <c r="F35" s="5" t="s">
        <v>127</v>
      </c>
      <c r="G35" s="5"/>
      <c r="H35" s="5"/>
      <c r="I35" s="5"/>
      <c r="J35" s="5"/>
      <c r="K35" s="5"/>
      <c r="L35" s="5"/>
      <c r="M35" s="5"/>
      <c r="N35" s="5"/>
      <c r="O35" s="5"/>
      <c r="P35" s="5"/>
      <c r="Q35" s="5"/>
      <c r="R35" s="5"/>
    </row>
    <row r="36" spans="1:18" ht="45" x14ac:dyDescent="0.25">
      <c r="A36" s="2" t="str">
        <f ca="1">"ANA"&amp;TEXT(Table2[[#This Row],[Count]],"000")&amp;"."&amp;IF(Table2[[#This Row],[Category]]="Essential","E",IF(Table2[[#This Row],[Category]]="Discretionary","D","O"))</f>
        <v>ANA028.E</v>
      </c>
      <c r="B36" s="5">
        <f ca="1">MAX(Table1[Count])+ROWS(INDEX(Table2[Count],1):Table2[[#This Row],[Count]])</f>
        <v>28</v>
      </c>
      <c r="C36" s="5" t="s">
        <v>224</v>
      </c>
      <c r="D36" s="5" t="s">
        <v>229</v>
      </c>
      <c r="E36" s="5" t="s">
        <v>13</v>
      </c>
      <c r="F36" s="5"/>
      <c r="G36" s="5"/>
      <c r="H36" s="5"/>
      <c r="I36" s="5"/>
      <c r="J36" s="5"/>
      <c r="K36" s="5"/>
      <c r="L36" s="5"/>
      <c r="M36" s="5" t="s">
        <v>127</v>
      </c>
      <c r="N36" s="5" t="s">
        <v>127</v>
      </c>
      <c r="O36" s="5" t="s">
        <v>127</v>
      </c>
      <c r="P36" s="5" t="s">
        <v>127</v>
      </c>
      <c r="Q36" s="5" t="s">
        <v>127</v>
      </c>
      <c r="R36" s="5" t="s">
        <v>230</v>
      </c>
    </row>
    <row r="37" spans="1:18" x14ac:dyDescent="0.25">
      <c r="A37" s="2" t="str">
        <f ca="1">"ANA"&amp;TEXT(Table2[[#This Row],[Count]],"000")&amp;"."&amp;IF(Table2[[#This Row],[Category]]="Essential","E",IF(Table2[[#This Row],[Category]]="Discretionary","D","O"))</f>
        <v>ANA029.E</v>
      </c>
      <c r="B37" s="5">
        <f ca="1">MAX(Table1[Count])+ROWS(INDEX(Table2[Count],1):Table2[[#This Row],[Count]])</f>
        <v>29</v>
      </c>
      <c r="C37" s="5" t="s">
        <v>224</v>
      </c>
      <c r="D37" s="5" t="s">
        <v>231</v>
      </c>
      <c r="E37" s="5" t="s">
        <v>13</v>
      </c>
      <c r="F37" s="5"/>
      <c r="G37" s="5"/>
      <c r="H37" s="5"/>
      <c r="I37" s="5"/>
      <c r="J37" s="5"/>
      <c r="K37" s="5"/>
      <c r="L37" s="5"/>
      <c r="M37" s="5" t="s">
        <v>127</v>
      </c>
      <c r="N37" s="5" t="s">
        <v>127</v>
      </c>
      <c r="O37" s="5"/>
      <c r="P37" s="5"/>
      <c r="Q37" s="5"/>
      <c r="R37" s="5"/>
    </row>
    <row r="38" spans="1:18" ht="30" x14ac:dyDescent="0.25">
      <c r="A38" s="2" t="str">
        <f ca="1">"ANA"&amp;TEXT(Table2[[#This Row],[Count]],"000")&amp;"."&amp;IF(Table2[[#This Row],[Category]]="Essential","E",IF(Table2[[#This Row],[Category]]="Discretionary","D","O"))</f>
        <v>ANA030.D</v>
      </c>
      <c r="B38" s="5">
        <f ca="1">MAX(Table1[Count])+ROWS(INDEX(Table2[Count],1):Table2[[#This Row],[Count]])</f>
        <v>30</v>
      </c>
      <c r="C38" s="5" t="s">
        <v>224</v>
      </c>
      <c r="D38" s="5" t="s">
        <v>232</v>
      </c>
      <c r="E38" s="5" t="s">
        <v>18</v>
      </c>
      <c r="F38" s="5"/>
      <c r="G38" s="5"/>
      <c r="H38" s="5"/>
      <c r="I38" s="5"/>
      <c r="J38" s="5"/>
      <c r="K38" s="5"/>
      <c r="L38" s="5"/>
      <c r="M38" s="5" t="s">
        <v>127</v>
      </c>
      <c r="N38" s="5" t="s">
        <v>127</v>
      </c>
      <c r="O38" s="5" t="s">
        <v>127</v>
      </c>
      <c r="P38" s="5" t="s">
        <v>127</v>
      </c>
      <c r="Q38" s="5" t="s">
        <v>127</v>
      </c>
      <c r="R38" s="5" t="s">
        <v>233</v>
      </c>
    </row>
    <row r="39" spans="1:18" ht="30" x14ac:dyDescent="0.25">
      <c r="A39" s="2" t="str">
        <f ca="1">"ANA"&amp;TEXT(Table2[[#This Row],[Count]],"000")&amp;"."&amp;IF(Table2[[#This Row],[Category]]="Essential","E",IF(Table2[[#This Row],[Category]]="Discretionary","D","O"))</f>
        <v>ANA033.D</v>
      </c>
      <c r="B39" s="5">
        <f ca="1">MAX(Table1[Count])+ROWS(INDEX(Table2[Count],1):Table2[[#This Row],[Count]])</f>
        <v>33</v>
      </c>
      <c r="C39" s="5" t="s">
        <v>224</v>
      </c>
      <c r="D39" s="5" t="s">
        <v>234</v>
      </c>
      <c r="E39" s="5" t="s">
        <v>18</v>
      </c>
      <c r="F39" s="5"/>
      <c r="G39" s="5"/>
      <c r="H39" s="5"/>
      <c r="I39" s="5"/>
      <c r="J39" s="5"/>
      <c r="K39" s="5"/>
      <c r="L39" s="5"/>
      <c r="M39" s="5" t="s">
        <v>127</v>
      </c>
      <c r="N39" s="5" t="s">
        <v>127</v>
      </c>
      <c r="O39" s="5" t="s">
        <v>127</v>
      </c>
      <c r="P39" s="5" t="s">
        <v>127</v>
      </c>
      <c r="Q39" s="5"/>
      <c r="R39" s="5" t="s">
        <v>235</v>
      </c>
    </row>
    <row r="40" spans="1:18" ht="30" x14ac:dyDescent="0.25">
      <c r="A40" s="2" t="str">
        <f ca="1">"ANA"&amp;TEXT(Table2[[#This Row],[Count]],"000")&amp;"."&amp;IF(Table2[[#This Row],[Category]]="Essential","E",IF(Table2[[#This Row],[Category]]="Discretionary","D","O"))</f>
        <v>ANA035.E</v>
      </c>
      <c r="B40" s="5">
        <f ca="1">MAX(Table1[Count])+ROWS(INDEX(Table2[Count],1):Table2[[#This Row],[Count]])</f>
        <v>35</v>
      </c>
      <c r="C40" s="5" t="s">
        <v>224</v>
      </c>
      <c r="D40" s="5" t="s">
        <v>236</v>
      </c>
      <c r="E40" s="5" t="s">
        <v>13</v>
      </c>
      <c r="F40" s="5"/>
      <c r="G40" s="5"/>
      <c r="H40" s="5" t="s">
        <v>127</v>
      </c>
      <c r="I40" s="5" t="s">
        <v>127</v>
      </c>
      <c r="J40" s="5" t="s">
        <v>127</v>
      </c>
      <c r="K40" s="5" t="s">
        <v>127</v>
      </c>
      <c r="L40" s="5" t="s">
        <v>127</v>
      </c>
      <c r="M40" s="5" t="s">
        <v>127</v>
      </c>
      <c r="N40" s="5" t="s">
        <v>127</v>
      </c>
      <c r="O40" s="5" t="s">
        <v>127</v>
      </c>
      <c r="P40" s="5" t="s">
        <v>127</v>
      </c>
      <c r="Q40" s="5"/>
      <c r="R40" s="5"/>
    </row>
    <row r="41" spans="1:18" ht="30" x14ac:dyDescent="0.25">
      <c r="A41" s="2" t="str">
        <f ca="1">"ANA"&amp;TEXT(Table2[[#This Row],[Count]],"000")&amp;"."&amp;IF(Table2[[#This Row],[Category]]="Essential","E",IF(Table2[[#This Row],[Category]]="Discretionary","D","O"))</f>
        <v>ANA036.E</v>
      </c>
      <c r="B41" s="5">
        <f ca="1">MAX(Table1[Count])+ROWS(INDEX(Table2[Count],1):Table2[[#This Row],[Count]])</f>
        <v>36</v>
      </c>
      <c r="C41" s="5" t="s">
        <v>224</v>
      </c>
      <c r="D41" s="5" t="s">
        <v>237</v>
      </c>
      <c r="E41" s="5" t="s">
        <v>13</v>
      </c>
      <c r="F41" s="5"/>
      <c r="G41" s="5"/>
      <c r="H41" s="5" t="s">
        <v>127</v>
      </c>
      <c r="I41" s="5" t="s">
        <v>127</v>
      </c>
      <c r="J41" s="5" t="s">
        <v>127</v>
      </c>
      <c r="K41" s="5" t="s">
        <v>127</v>
      </c>
      <c r="L41" s="5" t="s">
        <v>127</v>
      </c>
      <c r="M41" s="5" t="s">
        <v>127</v>
      </c>
      <c r="N41" s="5" t="s">
        <v>127</v>
      </c>
      <c r="O41" s="5" t="s">
        <v>127</v>
      </c>
      <c r="P41" s="5" t="s">
        <v>127</v>
      </c>
      <c r="Q41" s="5"/>
      <c r="R41" s="5"/>
    </row>
    <row r="42" spans="1:18" ht="135" x14ac:dyDescent="0.25">
      <c r="A42" s="2" t="str">
        <f ca="1">"ANA"&amp;TEXT(Table2[[#This Row],[Count]],"000")&amp;"."&amp;IF(Table2[[#This Row],[Category]]="Essential","E",IF(Table2[[#This Row],[Category]]="Discretionary","D","O"))</f>
        <v>ANA037.D</v>
      </c>
      <c r="B42" s="5">
        <f ca="1">MAX(Table1[Count])+ROWS(INDEX(Table2[Count],1):Table2[[#This Row],[Count]])</f>
        <v>37</v>
      </c>
      <c r="C42" s="5" t="s">
        <v>224</v>
      </c>
      <c r="D42" s="5" t="s">
        <v>238</v>
      </c>
      <c r="E42" s="5" t="s">
        <v>18</v>
      </c>
      <c r="F42" s="5" t="s">
        <v>127</v>
      </c>
      <c r="G42" s="5"/>
      <c r="H42" s="5"/>
      <c r="I42" s="5"/>
      <c r="J42" s="5"/>
      <c r="K42" s="5"/>
      <c r="L42" s="5"/>
      <c r="M42" s="5"/>
      <c r="N42" s="5"/>
      <c r="O42" s="5"/>
      <c r="P42" s="5"/>
      <c r="Q42" s="5"/>
      <c r="R42" s="5" t="s">
        <v>239</v>
      </c>
    </row>
    <row r="43" spans="1:18" ht="135" x14ac:dyDescent="0.25">
      <c r="A43" s="5" t="str">
        <f ca="1">"ANA"&amp;TEXT(Table2[[#This Row],[Count]],"000")&amp;"."&amp;IF(Table2[[#This Row],[Category]]="Essential","E",IF(Table2[[#This Row],[Category]]="Discretionary","D","O"))</f>
        <v>ANA038.E</v>
      </c>
      <c r="B43" s="5">
        <f ca="1">MAX(Table1[Count])+ROWS(INDEX(Table2[Count],1):Table2[[#This Row],[Count]])</f>
        <v>38</v>
      </c>
      <c r="C43" s="5" t="s">
        <v>224</v>
      </c>
      <c r="D43" s="5" t="s">
        <v>238</v>
      </c>
      <c r="E43" s="5" t="s">
        <v>13</v>
      </c>
      <c r="F43" s="5"/>
      <c r="G43" s="5"/>
      <c r="H43" s="5"/>
      <c r="I43" s="5"/>
      <c r="J43" s="5"/>
      <c r="K43" s="5"/>
      <c r="L43" s="5"/>
      <c r="M43" s="5"/>
      <c r="N43" s="5" t="s">
        <v>127</v>
      </c>
      <c r="O43" s="5" t="s">
        <v>127</v>
      </c>
      <c r="P43" s="5" t="s">
        <v>127</v>
      </c>
      <c r="Q43" s="5" t="s">
        <v>127</v>
      </c>
      <c r="R43" s="5" t="s">
        <v>240</v>
      </c>
    </row>
    <row r="44" spans="1:18" x14ac:dyDescent="0.25">
      <c r="A44" s="2" t="str">
        <f ca="1">"ANA"&amp;TEXT(Table2[[#This Row],[Count]],"000")&amp;"."&amp;IF(Table2[[#This Row],[Category]]="Essential","E",IF(Table2[[#This Row],[Category]]="Discretionary","D","O"))</f>
        <v>ANA039.D</v>
      </c>
      <c r="B44" s="5">
        <f ca="1">MAX(Table1[Count])+ROWS(INDEX(Table2[Count],1):Table2[[#This Row],[Count]])</f>
        <v>39</v>
      </c>
      <c r="C44" s="5" t="s">
        <v>224</v>
      </c>
      <c r="D44" s="5" t="s">
        <v>241</v>
      </c>
      <c r="E44" s="5" t="s">
        <v>18</v>
      </c>
      <c r="F44" s="5"/>
      <c r="G44" s="5"/>
      <c r="H44" s="5"/>
      <c r="I44" s="5"/>
      <c r="J44" s="5"/>
      <c r="K44" s="5"/>
      <c r="L44" s="5"/>
      <c r="M44" s="5"/>
      <c r="N44" s="5"/>
      <c r="O44" s="5" t="s">
        <v>127</v>
      </c>
      <c r="P44" s="5" t="s">
        <v>127</v>
      </c>
      <c r="Q44" s="5"/>
      <c r="R44" s="5" t="s">
        <v>242</v>
      </c>
    </row>
    <row r="45" spans="1:18" ht="45" x14ac:dyDescent="0.25">
      <c r="A45" s="2" t="str">
        <f ca="1">"ANA"&amp;TEXT(Table2[[#This Row],[Count]],"000")&amp;"."&amp;IF(Table2[[#This Row],[Category]]="Essential","E",IF(Table2[[#This Row],[Category]]="Discretionary","D","O"))</f>
        <v>ANA040.E</v>
      </c>
      <c r="B45" s="5">
        <f ca="1">MAX(Table1[Count])+ROWS(INDEX(Table2[Count],1):Table2[[#This Row],[Count]])</f>
        <v>40</v>
      </c>
      <c r="C45" s="5" t="s">
        <v>224</v>
      </c>
      <c r="D45" s="5" t="s">
        <v>243</v>
      </c>
      <c r="E45" s="5" t="s">
        <v>13</v>
      </c>
      <c r="F45" s="5"/>
      <c r="G45" s="5"/>
      <c r="H45" s="5"/>
      <c r="I45" s="5"/>
      <c r="J45" s="5"/>
      <c r="K45" s="5"/>
      <c r="L45" s="5"/>
      <c r="M45" s="5" t="s">
        <v>127</v>
      </c>
      <c r="N45" s="5" t="s">
        <v>127</v>
      </c>
      <c r="O45" s="5" t="s">
        <v>127</v>
      </c>
      <c r="P45" s="5" t="s">
        <v>127</v>
      </c>
      <c r="Q45" s="5"/>
      <c r="R45" s="5"/>
    </row>
    <row r="46" spans="1:18" ht="60" x14ac:dyDescent="0.25">
      <c r="A46" s="2" t="s">
        <v>244</v>
      </c>
      <c r="B46" s="5">
        <f ca="1">MAX(Table1[Count])+ROWS(INDEX(Table2[Count],1):Table2[[#This Row],[Count]])</f>
        <v>41</v>
      </c>
      <c r="C46" s="5" t="s">
        <v>224</v>
      </c>
      <c r="D46" s="5" t="s">
        <v>245</v>
      </c>
      <c r="E46" s="5" t="s">
        <v>18</v>
      </c>
      <c r="F46" s="5"/>
      <c r="G46" s="5"/>
      <c r="H46" s="5"/>
      <c r="I46" s="5"/>
      <c r="J46" s="5"/>
      <c r="K46" s="5"/>
      <c r="L46" s="5"/>
      <c r="M46" s="5" t="s">
        <v>127</v>
      </c>
      <c r="N46" s="5" t="s">
        <v>127</v>
      </c>
      <c r="O46" s="5" t="s">
        <v>127</v>
      </c>
      <c r="P46" s="5" t="s">
        <v>127</v>
      </c>
      <c r="Q46" s="5"/>
      <c r="R46" s="5" t="s">
        <v>246</v>
      </c>
    </row>
    <row r="47" spans="1:18" ht="45" x14ac:dyDescent="0.25">
      <c r="A47" s="2" t="str">
        <f ca="1">"ANA"&amp;TEXT(Table2[[#This Row],[Count]],"000")&amp;"."&amp;IF(Table2[[#This Row],[Category]]="Essential","E",IF(Table2[[#This Row],[Category]]="Discretionary","D","O"))</f>
        <v>ANA042.E</v>
      </c>
      <c r="B47" s="5">
        <f ca="1">MAX(Table1[Count])+ROWS(INDEX(Table2[Count],1):Table2[[#This Row],[Count]])</f>
        <v>42</v>
      </c>
      <c r="C47" s="5" t="s">
        <v>224</v>
      </c>
      <c r="D47" s="5" t="s">
        <v>247</v>
      </c>
      <c r="E47" s="5" t="s">
        <v>13</v>
      </c>
      <c r="F47" s="5"/>
      <c r="G47" s="5"/>
      <c r="H47" s="5" t="s">
        <v>127</v>
      </c>
      <c r="I47" s="5" t="s">
        <v>127</v>
      </c>
      <c r="J47" s="5"/>
      <c r="K47" s="5"/>
      <c r="L47" s="5"/>
      <c r="M47" s="5"/>
      <c r="N47" s="5"/>
      <c r="O47" s="5"/>
      <c r="P47" s="5"/>
      <c r="Q47" s="5"/>
      <c r="R47" s="5"/>
    </row>
    <row r="48" spans="1:18" ht="30" x14ac:dyDescent="0.25">
      <c r="A48" s="2" t="str">
        <f ca="1">"ANA"&amp;TEXT(Table2[[#This Row],[Count]],"000")&amp;"."&amp;IF(Table2[[#This Row],[Category]]="Essential","E",IF(Table2[[#This Row],[Category]]="Discretionary","D","O"))</f>
        <v>ANA043.D</v>
      </c>
      <c r="B48" s="5">
        <f ca="1">MAX(Table1[Count])+ROWS(INDEX(Table2[Count],1):Table2[[#This Row],[Count]])</f>
        <v>43</v>
      </c>
      <c r="C48" s="5" t="s">
        <v>224</v>
      </c>
      <c r="D48" s="5" t="s">
        <v>248</v>
      </c>
      <c r="E48" s="5" t="s">
        <v>18</v>
      </c>
      <c r="F48" s="5" t="s">
        <v>127</v>
      </c>
      <c r="G48" s="5"/>
      <c r="H48" s="5"/>
      <c r="I48" s="5"/>
      <c r="J48" s="5"/>
      <c r="K48" s="5"/>
      <c r="L48" s="5"/>
      <c r="M48" s="5"/>
      <c r="N48" s="5"/>
      <c r="O48" s="5"/>
      <c r="P48" s="5"/>
      <c r="Q48" s="5"/>
      <c r="R48" s="5" t="s">
        <v>186</v>
      </c>
    </row>
    <row r="49" spans="1:18" x14ac:dyDescent="0.25">
      <c r="A49" s="2" t="str">
        <f ca="1">"ANA"&amp;TEXT(Table2[[#This Row],[Count]],"000")&amp;"."&amp;IF(Table2[[#This Row],[Category]]="Essential","E",IF(Table2[[#This Row],[Category]]="Discretionary","D","O"))</f>
        <v>ANA044.E</v>
      </c>
      <c r="B49" s="5">
        <f ca="1">MAX(Table1[Count])+ROWS(INDEX(Table2[Count],1):Table2[[#This Row],[Count]])</f>
        <v>44</v>
      </c>
      <c r="C49" s="5" t="s">
        <v>224</v>
      </c>
      <c r="D49" s="5" t="s">
        <v>249</v>
      </c>
      <c r="E49" s="5" t="s">
        <v>13</v>
      </c>
      <c r="F49" s="5"/>
      <c r="G49" s="5" t="s">
        <v>127</v>
      </c>
      <c r="H49" s="5" t="s">
        <v>127</v>
      </c>
      <c r="I49" s="5" t="s">
        <v>127</v>
      </c>
      <c r="J49" s="5" t="s">
        <v>127</v>
      </c>
      <c r="K49" s="5" t="s">
        <v>127</v>
      </c>
      <c r="L49" s="5" t="s">
        <v>127</v>
      </c>
      <c r="M49" s="5" t="s">
        <v>127</v>
      </c>
      <c r="N49" s="5" t="s">
        <v>127</v>
      </c>
      <c r="O49" s="5" t="s">
        <v>127</v>
      </c>
      <c r="P49" s="5" t="s">
        <v>127</v>
      </c>
      <c r="Q49" s="5"/>
      <c r="R49" s="5" t="s">
        <v>250</v>
      </c>
    </row>
    <row r="50" spans="1:18" ht="30" x14ac:dyDescent="0.25">
      <c r="A50" s="2" t="str">
        <f ca="1">"ANA"&amp;TEXT(Table2[[#This Row],[Count]],"000")&amp;"."&amp;IF(Table2[[#This Row],[Category]]="Essential","E",IF(Table2[[#This Row],[Category]]="Discretionary","D","O"))</f>
        <v>ANA045.E</v>
      </c>
      <c r="B50" s="5">
        <f ca="1">MAX(Table1[Count])+ROWS(INDEX(Table2[Count],1):Table2[[#This Row],[Count]])</f>
        <v>45</v>
      </c>
      <c r="C50" s="5" t="s">
        <v>224</v>
      </c>
      <c r="D50" s="5" t="s">
        <v>251</v>
      </c>
      <c r="E50" s="5" t="s">
        <v>13</v>
      </c>
      <c r="F50" s="5"/>
      <c r="G50" s="5" t="s">
        <v>127</v>
      </c>
      <c r="H50" s="5" t="s">
        <v>127</v>
      </c>
      <c r="I50" s="5" t="s">
        <v>127</v>
      </c>
      <c r="J50" s="5"/>
      <c r="K50" s="5"/>
      <c r="L50" s="5"/>
      <c r="M50" s="5" t="s">
        <v>127</v>
      </c>
      <c r="N50" s="5" t="s">
        <v>127</v>
      </c>
      <c r="O50" s="5" t="s">
        <v>127</v>
      </c>
      <c r="P50" s="5" t="s">
        <v>127</v>
      </c>
      <c r="Q50" s="5"/>
      <c r="R50" s="5" t="s">
        <v>252</v>
      </c>
    </row>
    <row r="51" spans="1:18" ht="30" x14ac:dyDescent="0.25">
      <c r="A51" s="2" t="str">
        <f ca="1">"ANA"&amp;TEXT(Table2[[#This Row],[Count]],"000")&amp;"."&amp;IF(Table2[[#This Row],[Category]]="Essential","E",IF(Table2[[#This Row],[Category]]="Discretionary","D","O"))</f>
        <v>ANA046.E</v>
      </c>
      <c r="B51" s="5">
        <f ca="1">MAX(Table1[Count])+ROWS(INDEX(Table2[Count],1):Table2[[#This Row],[Count]])</f>
        <v>46</v>
      </c>
      <c r="C51" s="5" t="s">
        <v>224</v>
      </c>
      <c r="D51" s="5" t="s">
        <v>253</v>
      </c>
      <c r="E51" s="5" t="s">
        <v>13</v>
      </c>
      <c r="F51" s="5" t="s">
        <v>127</v>
      </c>
      <c r="G51" s="5"/>
      <c r="H51" s="5"/>
      <c r="I51" s="5"/>
      <c r="J51" s="5"/>
      <c r="K51" s="5"/>
      <c r="L51" s="5"/>
      <c r="M51" s="5"/>
      <c r="N51" s="5"/>
      <c r="O51" s="5"/>
      <c r="P51" s="5"/>
      <c r="Q51" s="5"/>
      <c r="R51" s="5"/>
    </row>
    <row r="52" spans="1:18" ht="45" x14ac:dyDescent="0.25">
      <c r="A52" s="2" t="str">
        <f ca="1">"ANA"&amp;TEXT(Table2[[#This Row],[Count]],"000")&amp;"."&amp;IF(Table2[[#This Row],[Category]]="Essential","E",IF(Table2[[#This Row],[Category]]="Discretionary","D","O"))</f>
        <v>ANA047.E</v>
      </c>
      <c r="B52" s="5">
        <f ca="1">MAX(Table1[Count])+ROWS(INDEX(Table2[Count],1):Table2[[#This Row],[Count]])</f>
        <v>47</v>
      </c>
      <c r="C52" s="5" t="s">
        <v>224</v>
      </c>
      <c r="D52" s="5" t="s">
        <v>254</v>
      </c>
      <c r="E52" s="5" t="s">
        <v>13</v>
      </c>
      <c r="F52" s="5"/>
      <c r="G52" s="5"/>
      <c r="H52" s="5" t="s">
        <v>127</v>
      </c>
      <c r="I52" s="5" t="s">
        <v>127</v>
      </c>
      <c r="J52" s="5"/>
      <c r="K52" s="5"/>
      <c r="L52" s="5"/>
      <c r="M52" s="5" t="s">
        <v>127</v>
      </c>
      <c r="N52" s="5" t="s">
        <v>127</v>
      </c>
      <c r="O52" s="5" t="s">
        <v>127</v>
      </c>
      <c r="P52" s="5" t="s">
        <v>127</v>
      </c>
      <c r="Q52" s="5"/>
      <c r="R52" s="5"/>
    </row>
    <row r="53" spans="1:18" x14ac:dyDescent="0.25">
      <c r="A53" s="2" t="s">
        <v>255</v>
      </c>
      <c r="B53" s="5">
        <f ca="1">MAX(Table1[Count])+ROWS(INDEX(Table2[Count],1):Table2[[#This Row],[Count]])</f>
        <v>48</v>
      </c>
      <c r="C53" s="5" t="s">
        <v>224</v>
      </c>
      <c r="D53" s="5" t="s">
        <v>256</v>
      </c>
      <c r="E53" s="5" t="s">
        <v>18</v>
      </c>
      <c r="F53" s="5"/>
      <c r="G53" s="5"/>
      <c r="H53" s="5"/>
      <c r="I53" s="5"/>
      <c r="J53" s="5"/>
      <c r="K53" s="5"/>
      <c r="L53" s="5"/>
      <c r="M53" s="5" t="s">
        <v>127</v>
      </c>
      <c r="N53" s="5" t="s">
        <v>127</v>
      </c>
      <c r="O53" s="5" t="s">
        <v>127</v>
      </c>
      <c r="P53" s="5" t="s">
        <v>127</v>
      </c>
      <c r="Q53" s="5"/>
      <c r="R53" s="5" t="s">
        <v>257</v>
      </c>
    </row>
    <row r="54" spans="1:18" x14ac:dyDescent="0.25">
      <c r="A54" s="2" t="str">
        <f ca="1">"ANA"&amp;TEXT(Table2[[#This Row],[Count]],"000")&amp;"."&amp;IF(Table2[[#This Row],[Category]]="Essential","E",IF(Table2[[#This Row],[Category]]="Discretionary","D","O"))</f>
        <v>ANA049.D</v>
      </c>
      <c r="B54" s="5">
        <f ca="1">MAX(Table1[Count])+ROWS(INDEX(Table2[Count],1):Table2[[#This Row],[Count]])</f>
        <v>49</v>
      </c>
      <c r="C54" s="5" t="s">
        <v>224</v>
      </c>
      <c r="D54" s="5" t="s">
        <v>209</v>
      </c>
      <c r="E54" s="5" t="s">
        <v>18</v>
      </c>
      <c r="F54" s="5"/>
      <c r="G54" s="5"/>
      <c r="H54" s="5"/>
      <c r="I54" s="5"/>
      <c r="J54" s="5"/>
      <c r="K54" s="5"/>
      <c r="L54" s="5"/>
      <c r="M54" s="5"/>
      <c r="N54" s="5" t="s">
        <v>127</v>
      </c>
      <c r="O54" s="5" t="s">
        <v>127</v>
      </c>
      <c r="P54" s="5" t="s">
        <v>127</v>
      </c>
      <c r="Q54" s="5" t="s">
        <v>127</v>
      </c>
      <c r="R54" s="5" t="s">
        <v>258</v>
      </c>
    </row>
    <row r="55" spans="1:18" x14ac:dyDescent="0.25">
      <c r="A55" s="2" t="str">
        <f ca="1">"ANA"&amp;TEXT(Table2[[#This Row],[Count]],"000")&amp;"."&amp;IF(Table2[[#This Row],[Category]]="Essential","E",IF(Table2[[#This Row],[Category]]="Discretionary","D","O"))</f>
        <v>ANA050.E</v>
      </c>
      <c r="B55" s="5">
        <f ca="1">MAX(Table1[Count])+ROWS(INDEX(Table2[Count],1):Table2[[#This Row],[Count]])</f>
        <v>50</v>
      </c>
      <c r="C55" s="5" t="s">
        <v>224</v>
      </c>
      <c r="D55" s="5" t="s">
        <v>259</v>
      </c>
      <c r="E55" s="5" t="s">
        <v>13</v>
      </c>
      <c r="F55" s="5"/>
      <c r="G55" s="5"/>
      <c r="H55" s="5"/>
      <c r="I55" s="5"/>
      <c r="J55" s="5"/>
      <c r="K55" s="5"/>
      <c r="L55" s="5"/>
      <c r="M55" s="5" t="s">
        <v>127</v>
      </c>
      <c r="N55" s="5" t="s">
        <v>127</v>
      </c>
      <c r="O55" s="5" t="s">
        <v>127</v>
      </c>
      <c r="P55" s="5" t="s">
        <v>127</v>
      </c>
      <c r="Q55" s="5"/>
      <c r="R55" s="5"/>
    </row>
    <row r="57" spans="1:18" x14ac:dyDescent="0.25">
      <c r="A57" s="58" t="s">
        <v>260</v>
      </c>
      <c r="B57" s="58"/>
      <c r="C57" s="58"/>
      <c r="D57" s="58"/>
      <c r="E57" s="58"/>
      <c r="F57" s="58"/>
      <c r="G57" s="58"/>
      <c r="H57" s="58"/>
      <c r="I57" s="58"/>
      <c r="J57" s="58"/>
      <c r="K57" s="58"/>
      <c r="L57" s="58"/>
      <c r="M57" s="58"/>
      <c r="N57" s="58"/>
      <c r="O57" s="58"/>
      <c r="P57" s="58"/>
      <c r="Q57" s="58"/>
      <c r="R57" s="58"/>
    </row>
    <row r="59" spans="1:18" x14ac:dyDescent="0.25">
      <c r="A59" s="6" t="s">
        <v>120</v>
      </c>
      <c r="B59" s="6" t="s">
        <v>121</v>
      </c>
      <c r="C59" s="6" t="s">
        <v>122</v>
      </c>
      <c r="D59" s="7" t="s">
        <v>123</v>
      </c>
      <c r="E59" s="6" t="s">
        <v>8</v>
      </c>
      <c r="F59" s="6" t="s">
        <v>124</v>
      </c>
      <c r="G59" s="6" t="s">
        <v>154</v>
      </c>
      <c r="H59" s="6" t="s">
        <v>155</v>
      </c>
      <c r="I59" s="6" t="s">
        <v>156</v>
      </c>
      <c r="J59" s="6" t="s">
        <v>157</v>
      </c>
      <c r="K59" s="6" t="s">
        <v>158</v>
      </c>
      <c r="L59" s="6" t="s">
        <v>159</v>
      </c>
      <c r="M59" s="6" t="s">
        <v>160</v>
      </c>
      <c r="N59" s="6" t="s">
        <v>161</v>
      </c>
      <c r="O59" s="6" t="s">
        <v>162</v>
      </c>
      <c r="P59" s="6" t="s">
        <v>163</v>
      </c>
      <c r="Q59" s="6" t="s">
        <v>164</v>
      </c>
      <c r="R59" s="7" t="s">
        <v>125</v>
      </c>
    </row>
    <row r="60" spans="1:18" ht="60" x14ac:dyDescent="0.25">
      <c r="A60" s="5" t="str">
        <f ca="1">"ANA"&amp;TEXT(Table3[[#This Row],[Count]],"000")&amp;"."&amp;IF(Table3[[#This Row],[Category]]="Essential","E",IF(Table3[[#This Row],[Category]]="Discretionary","D","O"))</f>
        <v>ANA051.E</v>
      </c>
      <c r="B60" s="5">
        <f ca="1">MAX(Table2[Count])+ROWS(INDEX(Table3[Count],1):Table3[[#This Row],[Count]])</f>
        <v>51</v>
      </c>
      <c r="C60" s="5" t="s">
        <v>260</v>
      </c>
      <c r="D60" s="5" t="s">
        <v>261</v>
      </c>
      <c r="E60" s="5" t="s">
        <v>13</v>
      </c>
      <c r="F60" s="5" t="s">
        <v>127</v>
      </c>
      <c r="G60" s="5"/>
      <c r="H60" s="5"/>
      <c r="I60" s="5"/>
      <c r="J60" s="5"/>
      <c r="K60" s="5"/>
      <c r="L60" s="5"/>
      <c r="M60" s="5"/>
      <c r="N60" s="5"/>
      <c r="O60" s="5"/>
      <c r="P60" s="5"/>
      <c r="Q60" s="5"/>
      <c r="R60" s="5" t="s">
        <v>218</v>
      </c>
    </row>
    <row r="61" spans="1:18" ht="60" x14ac:dyDescent="0.25">
      <c r="A61" s="5" t="str">
        <f ca="1">"ANA"&amp;TEXT(Table3[[#This Row],[Count]],"000")&amp;"."&amp;IF(Table3[[#This Row],[Category]]="Essential","E",IF(Table3[[#This Row],[Category]]="Discretionary","D","O"))</f>
        <v>ANA052.E</v>
      </c>
      <c r="B61" s="5">
        <f ca="1">MAX(Table2[Count])+ROWS(INDEX(Table3[Count],1):Table3[[#This Row],[Count]])</f>
        <v>52</v>
      </c>
      <c r="C61" s="5" t="s">
        <v>260</v>
      </c>
      <c r="D61" s="5" t="s">
        <v>262</v>
      </c>
      <c r="E61" s="5" t="s">
        <v>13</v>
      </c>
      <c r="F61" s="5" t="s">
        <v>127</v>
      </c>
      <c r="G61" s="5"/>
      <c r="H61" s="5"/>
      <c r="I61" s="5"/>
      <c r="J61" s="5"/>
      <c r="K61" s="5"/>
      <c r="L61" s="5"/>
      <c r="M61" s="5"/>
      <c r="N61" s="5"/>
      <c r="O61" s="5"/>
      <c r="P61" s="5"/>
      <c r="Q61" s="5"/>
      <c r="R61" s="5" t="s">
        <v>218</v>
      </c>
    </row>
    <row r="62" spans="1:18" ht="60" x14ac:dyDescent="0.25">
      <c r="A62" s="5" t="str">
        <f ca="1">"ANA"&amp;TEXT(Table3[[#This Row],[Count]],"000")&amp;"."&amp;IF(Table3[[#This Row],[Category]]="Essential","E",IF(Table3[[#This Row],[Category]]="Discretionary","D","O"))</f>
        <v>ANA053.E</v>
      </c>
      <c r="B62" s="5">
        <f ca="1">MAX(Table2[Count])+ROWS(INDEX(Table3[Count],1):Table3[[#This Row],[Count]])</f>
        <v>53</v>
      </c>
      <c r="C62" s="5" t="s">
        <v>260</v>
      </c>
      <c r="D62" s="5" t="s">
        <v>263</v>
      </c>
      <c r="E62" s="5" t="s">
        <v>13</v>
      </c>
      <c r="F62" s="5" t="s">
        <v>127</v>
      </c>
      <c r="G62" s="5"/>
      <c r="H62" s="5"/>
      <c r="I62" s="5"/>
      <c r="J62" s="5"/>
      <c r="K62" s="5"/>
      <c r="L62" s="5"/>
      <c r="M62" s="5"/>
      <c r="N62" s="5"/>
      <c r="O62" s="5"/>
      <c r="P62" s="5"/>
      <c r="Q62" s="5"/>
      <c r="R62" s="5" t="s">
        <v>218</v>
      </c>
    </row>
    <row r="63" spans="1:18" x14ac:dyDescent="0.25">
      <c r="A63" s="5" t="str">
        <f ca="1">"ANA"&amp;TEXT(Table3[[#This Row],[Count]],"000")&amp;"."&amp;IF(Table3[[#This Row],[Category]]="Essential","E",IF(Table3[[#This Row],[Category]]="Discretionary","D","O"))</f>
        <v>ANA054.D</v>
      </c>
      <c r="B63" s="5">
        <f ca="1">MAX(Table2[Count])+ROWS(INDEX(Table3[Count],1):Table3[[#This Row],[Count]])</f>
        <v>54</v>
      </c>
      <c r="C63" s="5" t="s">
        <v>260</v>
      </c>
      <c r="D63" s="5" t="s">
        <v>234</v>
      </c>
      <c r="E63" s="5" t="s">
        <v>18</v>
      </c>
      <c r="F63" s="5" t="s">
        <v>127</v>
      </c>
      <c r="G63" s="5"/>
      <c r="H63" s="5"/>
      <c r="I63" s="5"/>
      <c r="J63" s="5"/>
      <c r="K63" s="5"/>
      <c r="L63" s="5"/>
      <c r="M63" s="5"/>
      <c r="N63" s="5"/>
      <c r="O63" s="5"/>
      <c r="P63" s="5"/>
      <c r="Q63" s="5"/>
      <c r="R63" s="5" t="s">
        <v>264</v>
      </c>
    </row>
    <row r="64" spans="1:18" ht="30" x14ac:dyDescent="0.25">
      <c r="A64" s="5" t="str">
        <f ca="1">"ANA"&amp;TEXT(Table3[[#This Row],[Count]],"000")&amp;"."&amp;IF(Table3[[#This Row],[Category]]="Essential","E",IF(Table3[[#This Row],[Category]]="Discretionary","D","O"))</f>
        <v>ANA055.D</v>
      </c>
      <c r="B64" s="5">
        <f ca="1">MAX(Table2[Count])+ROWS(INDEX(Table3[Count],1):Table3[[#This Row],[Count]])</f>
        <v>55</v>
      </c>
      <c r="C64" s="5" t="s">
        <v>260</v>
      </c>
      <c r="D64" s="5" t="s">
        <v>265</v>
      </c>
      <c r="E64" s="5" t="s">
        <v>18</v>
      </c>
      <c r="F64" s="5" t="s">
        <v>127</v>
      </c>
      <c r="G64" s="5"/>
      <c r="H64" s="5"/>
      <c r="I64" s="5"/>
      <c r="J64" s="5"/>
      <c r="K64" s="5"/>
      <c r="L64" s="5"/>
      <c r="M64" s="5"/>
      <c r="N64" s="5"/>
      <c r="O64" s="5"/>
      <c r="P64" s="5"/>
      <c r="Q64" s="5"/>
      <c r="R64" s="5"/>
    </row>
    <row r="65" spans="1:18" x14ac:dyDescent="0.25">
      <c r="A65" s="5" t="str">
        <f ca="1">"ANA"&amp;TEXT(Table3[[#This Row],[Count]],"000")&amp;"."&amp;IF(Table3[[#This Row],[Category]]="Essential","E",IF(Table3[[#This Row],[Category]]="Discretionary","D","O"))</f>
        <v>ANA056.E</v>
      </c>
      <c r="B65" s="5">
        <f ca="1">MAX(Table2[Count])+ROWS(INDEX(Table3[Count],1):Table3[[#This Row],[Count]])</f>
        <v>56</v>
      </c>
      <c r="C65" s="5" t="s">
        <v>260</v>
      </c>
      <c r="D65" s="5" t="s">
        <v>266</v>
      </c>
      <c r="E65" s="5" t="s">
        <v>13</v>
      </c>
      <c r="F65" s="5"/>
      <c r="G65" s="5"/>
      <c r="H65" s="5" t="s">
        <v>127</v>
      </c>
      <c r="I65" s="5"/>
      <c r="J65" s="5"/>
      <c r="K65" s="5"/>
      <c r="L65" s="5"/>
      <c r="M65" s="5"/>
      <c r="N65" s="5"/>
      <c r="O65" s="5"/>
      <c r="P65" s="5"/>
      <c r="Q65" s="5"/>
      <c r="R65" s="5"/>
    </row>
    <row r="66" spans="1:18" x14ac:dyDescent="0.25">
      <c r="A66" s="5" t="str">
        <f ca="1">"ANA"&amp;TEXT(Table3[[#This Row],[Count]],"000")&amp;"."&amp;IF(Table3[[#This Row],[Category]]="Essential","E",IF(Table3[[#This Row],[Category]]="Discretionary","D","O"))</f>
        <v>ANA057.E</v>
      </c>
      <c r="B66" s="5">
        <f ca="1">MAX(Table2[Count])+ROWS(INDEX(Table3[Count],1):Table3[[#This Row],[Count]])</f>
        <v>57</v>
      </c>
      <c r="C66" s="5" t="s">
        <v>260</v>
      </c>
      <c r="D66" s="5" t="s">
        <v>267</v>
      </c>
      <c r="E66" s="5" t="s">
        <v>13</v>
      </c>
      <c r="F66" s="5"/>
      <c r="G66" s="5"/>
      <c r="H66" s="5" t="s">
        <v>127</v>
      </c>
      <c r="I66" s="5" t="s">
        <v>127</v>
      </c>
      <c r="J66" s="5"/>
      <c r="K66" s="5"/>
      <c r="L66" s="5"/>
      <c r="M66" s="5"/>
      <c r="N66" s="5"/>
      <c r="O66" s="5"/>
      <c r="P66" s="5"/>
      <c r="Q66" s="5"/>
      <c r="R66" s="5"/>
    </row>
    <row r="67" spans="1:18" ht="60" x14ac:dyDescent="0.25">
      <c r="A67" s="5" t="str">
        <f ca="1">"ANA"&amp;TEXT(Table3[[#This Row],[Count]],"000")&amp;"."&amp;IF(Table3[[#This Row],[Category]]="Essential","E",IF(Table3[[#This Row],[Category]]="Discretionary","D","O"))</f>
        <v>ANA058.D</v>
      </c>
      <c r="B67" s="5">
        <f ca="1">MAX(Table2[Count])+ROWS(INDEX(Table3[Count],1):Table3[[#This Row],[Count]])</f>
        <v>58</v>
      </c>
      <c r="C67" s="5" t="s">
        <v>260</v>
      </c>
      <c r="D67" s="5" t="s">
        <v>268</v>
      </c>
      <c r="E67" s="5" t="s">
        <v>18</v>
      </c>
      <c r="F67" s="5"/>
      <c r="G67" s="5" t="s">
        <v>127</v>
      </c>
      <c r="H67" s="5"/>
      <c r="I67" s="5"/>
      <c r="J67" s="5"/>
      <c r="K67" s="5"/>
      <c r="L67" s="5"/>
      <c r="M67" s="5"/>
      <c r="N67" s="5"/>
      <c r="O67" s="5"/>
      <c r="P67" s="5"/>
      <c r="Q67" s="5"/>
      <c r="R67" s="5"/>
    </row>
    <row r="68" spans="1:18" x14ac:dyDescent="0.25">
      <c r="A68" s="5" t="str">
        <f ca="1">"ANA"&amp;TEXT(Table3[[#This Row],[Count]],"000")&amp;"."&amp;IF(Table3[[#This Row],[Category]]="Essential","E",IF(Table3[[#This Row],[Category]]="Discretionary","D","O"))</f>
        <v>ANA059.E</v>
      </c>
      <c r="B68" s="5">
        <f ca="1">MAX(Table2[Count])+ROWS(INDEX(Table3[Count],1):Table3[[#This Row],[Count]])</f>
        <v>59</v>
      </c>
      <c r="C68" s="5" t="s">
        <v>260</v>
      </c>
      <c r="D68" s="5" t="s">
        <v>269</v>
      </c>
      <c r="E68" s="28" t="s">
        <v>13</v>
      </c>
      <c r="F68" s="5"/>
      <c r="G68" s="5" t="s">
        <v>127</v>
      </c>
      <c r="H68" s="5" t="s">
        <v>127</v>
      </c>
      <c r="I68" s="5" t="s">
        <v>127</v>
      </c>
      <c r="J68" s="5"/>
      <c r="K68" s="5"/>
      <c r="L68" s="5"/>
      <c r="M68" s="5"/>
      <c r="N68" s="5"/>
      <c r="O68" s="5"/>
      <c r="P68" s="5"/>
      <c r="Q68" s="5"/>
      <c r="R68" s="5"/>
    </row>
    <row r="70" spans="1:18" x14ac:dyDescent="0.25">
      <c r="A70" s="58" t="s">
        <v>48</v>
      </c>
      <c r="B70" s="58"/>
      <c r="C70" s="58"/>
      <c r="D70" s="58"/>
      <c r="E70" s="58"/>
      <c r="F70" s="58"/>
      <c r="G70" s="58"/>
      <c r="H70" s="58"/>
      <c r="I70" s="58"/>
      <c r="J70" s="58"/>
      <c r="K70" s="58"/>
      <c r="L70" s="58"/>
      <c r="M70" s="58"/>
      <c r="N70" s="58"/>
      <c r="O70" s="58"/>
      <c r="P70" s="58"/>
      <c r="Q70" s="58"/>
      <c r="R70" s="58"/>
    </row>
    <row r="72" spans="1:18" x14ac:dyDescent="0.25">
      <c r="A72" s="6" t="s">
        <v>120</v>
      </c>
      <c r="B72" s="6" t="s">
        <v>121</v>
      </c>
      <c r="C72" s="6" t="s">
        <v>122</v>
      </c>
      <c r="D72" s="7" t="s">
        <v>123</v>
      </c>
      <c r="E72" s="6" t="s">
        <v>8</v>
      </c>
      <c r="F72" s="6" t="s">
        <v>124</v>
      </c>
      <c r="G72" s="6" t="s">
        <v>154</v>
      </c>
      <c r="H72" s="6" t="s">
        <v>155</v>
      </c>
      <c r="I72" s="6" t="s">
        <v>156</v>
      </c>
      <c r="J72" s="6" t="s">
        <v>157</v>
      </c>
      <c r="K72" s="6" t="s">
        <v>158</v>
      </c>
      <c r="L72" s="6" t="s">
        <v>159</v>
      </c>
      <c r="M72" s="6" t="s">
        <v>160</v>
      </c>
      <c r="N72" s="6" t="s">
        <v>161</v>
      </c>
      <c r="O72" s="6" t="s">
        <v>162</v>
      </c>
      <c r="P72" s="6" t="s">
        <v>163</v>
      </c>
      <c r="Q72" s="6" t="s">
        <v>164</v>
      </c>
      <c r="R72" s="7" t="s">
        <v>125</v>
      </c>
    </row>
    <row r="73" spans="1:18" ht="60" x14ac:dyDescent="0.25">
      <c r="A73" s="5" t="str">
        <f ca="1">"ANA"&amp;TEXT(Table4[[#This Row],[Count]],"000")&amp;"."&amp;IF(Table4[[#This Row],[Category]]="Essential","E",IF(Table4[[#This Row],[Category]]="Discretionary","D","O"))</f>
        <v>ANA060.E</v>
      </c>
      <c r="B73" s="5">
        <f ca="1">MAX(Table3[Count])+ROWS(INDEX(Table4[Count],1):Table4[[#This Row],[Count]])</f>
        <v>60</v>
      </c>
      <c r="C73" s="5" t="s">
        <v>48</v>
      </c>
      <c r="D73" s="5" t="s">
        <v>270</v>
      </c>
      <c r="E73" s="5" t="s">
        <v>13</v>
      </c>
      <c r="F73" s="5" t="s">
        <v>127</v>
      </c>
      <c r="G73" s="5"/>
      <c r="H73" s="5"/>
      <c r="I73" s="5"/>
      <c r="J73" s="5"/>
      <c r="K73" s="5"/>
      <c r="L73" s="5"/>
      <c r="M73" s="5"/>
      <c r="N73" s="5"/>
      <c r="O73" s="5"/>
      <c r="P73" s="5"/>
      <c r="Q73" s="5"/>
      <c r="R73" s="5" t="s">
        <v>218</v>
      </c>
    </row>
    <row r="74" spans="1:18" ht="30" x14ac:dyDescent="0.25">
      <c r="A74" s="5" t="str">
        <f ca="1">"ANA"&amp;TEXT(Table4[[#This Row],[Count]],"000")&amp;"."&amp;IF(Table4[[#This Row],[Category]]="Essential","E",IF(Table4[[#This Row],[Category]]="Discretionary","D","O"))</f>
        <v>ANA061.D</v>
      </c>
      <c r="B74" s="5">
        <f ca="1">MAX(Table3[Count])+ROWS(INDEX(Table4[Count],1):Table4[[#This Row],[Count]])</f>
        <v>61</v>
      </c>
      <c r="C74" s="5" t="s">
        <v>48</v>
      </c>
      <c r="D74" s="5" t="s">
        <v>271</v>
      </c>
      <c r="E74" s="5" t="s">
        <v>18</v>
      </c>
      <c r="F74" s="5" t="s">
        <v>127</v>
      </c>
      <c r="G74" s="5"/>
      <c r="H74" s="5"/>
      <c r="I74" s="5"/>
      <c r="J74" s="5"/>
      <c r="K74" s="5"/>
      <c r="L74" s="5"/>
      <c r="M74" s="5"/>
      <c r="N74" s="5"/>
      <c r="O74" s="5"/>
      <c r="P74" s="5"/>
      <c r="Q74" s="5"/>
      <c r="R74" s="5" t="s">
        <v>186</v>
      </c>
    </row>
    <row r="75" spans="1:18" ht="60" x14ac:dyDescent="0.25">
      <c r="A75" s="5" t="str">
        <f ca="1">"ANA"&amp;TEXT(Table4[[#This Row],[Count]],"000")&amp;"."&amp;IF(Table4[[#This Row],[Category]]="Essential","E",IF(Table4[[#This Row],[Category]]="Discretionary","D","O"))</f>
        <v>ANA062.E</v>
      </c>
      <c r="B75" s="5">
        <f ca="1">MAX(Table3[Count])+ROWS(INDEX(Table4[Count],1):Table4[[#This Row],[Count]])</f>
        <v>62</v>
      </c>
      <c r="C75" s="5" t="s">
        <v>48</v>
      </c>
      <c r="D75" s="5" t="s">
        <v>272</v>
      </c>
      <c r="E75" s="5" t="s">
        <v>13</v>
      </c>
      <c r="F75" s="5" t="s">
        <v>127</v>
      </c>
      <c r="G75" s="5"/>
      <c r="H75" s="5"/>
      <c r="I75" s="5"/>
      <c r="J75" s="5"/>
      <c r="K75" s="5"/>
      <c r="L75" s="5"/>
      <c r="M75" s="5"/>
      <c r="N75" s="5"/>
      <c r="O75" s="5"/>
      <c r="P75" s="5"/>
      <c r="Q75" s="5"/>
      <c r="R75" s="5" t="s">
        <v>218</v>
      </c>
    </row>
    <row r="76" spans="1:18" ht="60" x14ac:dyDescent="0.25">
      <c r="A76" s="5" t="str">
        <f ca="1">"ANA"&amp;TEXT(Table4[[#This Row],[Count]],"000")&amp;"."&amp;IF(Table4[[#This Row],[Category]]="Essential","E",IF(Table4[[#This Row],[Category]]="Discretionary","D","O"))</f>
        <v>ANA063.E</v>
      </c>
      <c r="B76" s="5">
        <f ca="1">MAX(Table3[Count])+ROWS(INDEX(Table4[Count],1):Table4[[#This Row],[Count]])</f>
        <v>63</v>
      </c>
      <c r="C76" s="5" t="s">
        <v>48</v>
      </c>
      <c r="D76" s="5" t="s">
        <v>273</v>
      </c>
      <c r="E76" s="5" t="s">
        <v>13</v>
      </c>
      <c r="F76" s="5" t="s">
        <v>127</v>
      </c>
      <c r="G76" s="5"/>
      <c r="H76" s="5"/>
      <c r="I76" s="5"/>
      <c r="J76" s="5"/>
      <c r="K76" s="5"/>
      <c r="L76" s="5"/>
      <c r="M76" s="5"/>
      <c r="N76" s="5"/>
      <c r="O76" s="5"/>
      <c r="P76" s="5"/>
      <c r="Q76" s="5"/>
      <c r="R76" s="5" t="s">
        <v>218</v>
      </c>
    </row>
    <row r="77" spans="1:18" x14ac:dyDescent="0.25">
      <c r="A77" s="5" t="str">
        <f ca="1">"ANA"&amp;TEXT(Table4[[#This Row],[Count]],"000")&amp;"."&amp;IF(Table4[[#This Row],[Category]]="Essential","E",IF(Table4[[#This Row],[Category]]="Discretionary","D","O"))</f>
        <v>ANA064.E</v>
      </c>
      <c r="B77" s="5">
        <f ca="1">MAX(Table3[Count])+ROWS(INDEX(Table4[Count],1):Table4[[#This Row],[Count]])</f>
        <v>64</v>
      </c>
      <c r="C77" s="5" t="s">
        <v>48</v>
      </c>
      <c r="D77" s="5" t="s">
        <v>274</v>
      </c>
      <c r="E77" s="5" t="s">
        <v>13</v>
      </c>
      <c r="F77" s="5" t="s">
        <v>127</v>
      </c>
      <c r="G77" s="5"/>
      <c r="H77" s="5"/>
      <c r="I77" s="5"/>
      <c r="J77" s="5"/>
      <c r="K77" s="5"/>
      <c r="L77" s="5"/>
      <c r="M77" s="5"/>
      <c r="N77" s="5"/>
      <c r="O77" s="5"/>
      <c r="P77" s="5"/>
      <c r="Q77" s="5"/>
      <c r="R77" s="5"/>
    </row>
    <row r="78" spans="1:18" ht="45" x14ac:dyDescent="0.25">
      <c r="A78" s="5" t="str">
        <f ca="1">"ANA"&amp;TEXT(Table4[[#This Row],[Count]],"000")&amp;"."&amp;IF(Table4[[#This Row],[Category]]="Essential","E",IF(Table4[[#This Row],[Category]]="Discretionary","D","O"))</f>
        <v>ANA065.D</v>
      </c>
      <c r="B78" s="5">
        <f ca="1">MAX(Table3[Count])+ROWS(INDEX(Table4[Count],1):Table4[[#This Row],[Count]])</f>
        <v>65</v>
      </c>
      <c r="C78" s="5" t="s">
        <v>48</v>
      </c>
      <c r="D78" s="5" t="s">
        <v>275</v>
      </c>
      <c r="E78" s="5" t="s">
        <v>18</v>
      </c>
      <c r="F78" s="5" t="s">
        <v>127</v>
      </c>
      <c r="G78" s="5"/>
      <c r="H78" s="5"/>
      <c r="I78" s="5"/>
      <c r="J78" s="5"/>
      <c r="K78" s="5"/>
      <c r="L78" s="5"/>
      <c r="M78" s="5"/>
      <c r="N78" s="5"/>
      <c r="O78" s="5"/>
      <c r="P78" s="5"/>
      <c r="Q78" s="5"/>
      <c r="R78" s="5"/>
    </row>
    <row r="79" spans="1:18" x14ac:dyDescent="0.25">
      <c r="A79" s="5" t="str">
        <f ca="1">"ANA"&amp;TEXT(Table4[[#This Row],[Count]],"000")&amp;"."&amp;IF(Table4[[#This Row],[Category]]="Essential","E",IF(Table4[[#This Row],[Category]]="Discretionary","D","O"))</f>
        <v>ANA066.D</v>
      </c>
      <c r="B79" s="5">
        <f ca="1">MAX(Table3[Count])+ROWS(INDEX(Table4[Count],1):Table4[[#This Row],[Count]])</f>
        <v>66</v>
      </c>
      <c r="C79" s="5" t="s">
        <v>48</v>
      </c>
      <c r="D79" s="5" t="s">
        <v>276</v>
      </c>
      <c r="E79" s="5" t="s">
        <v>18</v>
      </c>
      <c r="F79" s="5" t="s">
        <v>127</v>
      </c>
      <c r="G79" s="5"/>
      <c r="H79" s="5"/>
      <c r="I79" s="5"/>
      <c r="J79" s="5"/>
      <c r="K79" s="5"/>
      <c r="L79" s="5"/>
      <c r="M79" s="5"/>
      <c r="N79" s="5"/>
      <c r="O79" s="5"/>
      <c r="P79" s="5"/>
      <c r="Q79" s="5"/>
      <c r="R79" s="5"/>
    </row>
    <row r="80" spans="1:18" ht="30" x14ac:dyDescent="0.25">
      <c r="A80" s="5" t="str">
        <f ca="1">"ANA"&amp;TEXT(Table4[[#This Row],[Count]],"000")&amp;"."&amp;IF(Table4[[#This Row],[Category]]="Essential","E",IF(Table4[[#This Row],[Category]]="Discretionary","D","O"))</f>
        <v>ANA067.O</v>
      </c>
      <c r="B80" s="5">
        <f ca="1">MAX(Table3[Count])+ROWS(INDEX(Table4[Count],1):Table4[[#This Row],[Count]])</f>
        <v>67</v>
      </c>
      <c r="C80" s="5" t="s">
        <v>48</v>
      </c>
      <c r="D80" s="5" t="s">
        <v>277</v>
      </c>
      <c r="E80" s="5" t="s">
        <v>23</v>
      </c>
      <c r="F80" s="5" t="s">
        <v>127</v>
      </c>
      <c r="G80" s="5"/>
      <c r="H80" s="5"/>
      <c r="I80" s="5"/>
      <c r="J80" s="5"/>
      <c r="K80" s="5"/>
      <c r="L80" s="5"/>
      <c r="M80" s="5"/>
      <c r="N80" s="5"/>
      <c r="O80" s="5"/>
      <c r="P80" s="5"/>
      <c r="Q80" s="5"/>
      <c r="R80" s="5" t="s">
        <v>137</v>
      </c>
    </row>
    <row r="81" spans="1:18" x14ac:dyDescent="0.25">
      <c r="A81" s="5" t="str">
        <f ca="1">"ANA"&amp;TEXT(Table4[[#This Row],[Count]],"000")&amp;"."&amp;IF(Table4[[#This Row],[Category]]="Essential","E",IF(Table4[[#This Row],[Category]]="Discretionary","D","O"))</f>
        <v>ANA068.E</v>
      </c>
      <c r="B81" s="5">
        <f ca="1">MAX(Table3[Count])+ROWS(INDEX(Table4[Count],1):Table4[[#This Row],[Count]])</f>
        <v>68</v>
      </c>
      <c r="C81" s="5" t="s">
        <v>48</v>
      </c>
      <c r="D81" s="5" t="s">
        <v>234</v>
      </c>
      <c r="E81" s="5" t="s">
        <v>13</v>
      </c>
      <c r="F81" s="5" t="s">
        <v>127</v>
      </c>
      <c r="G81" s="5"/>
      <c r="H81" s="5"/>
      <c r="I81" s="5"/>
      <c r="J81" s="5"/>
      <c r="K81" s="5"/>
      <c r="L81" s="5"/>
      <c r="M81" s="5"/>
      <c r="N81" s="5"/>
      <c r="O81" s="5"/>
      <c r="P81" s="5"/>
      <c r="Q81" s="5"/>
      <c r="R81" s="5" t="s">
        <v>264</v>
      </c>
    </row>
    <row r="82" spans="1:18" ht="30" x14ac:dyDescent="0.25">
      <c r="A82" s="5" t="str">
        <f ca="1">"ANA"&amp;TEXT(Table4[[#This Row],[Count]],"000")&amp;"."&amp;IF(Table4[[#This Row],[Category]]="Essential","E",IF(Table4[[#This Row],[Category]]="Discretionary","D","O"))</f>
        <v>ANA069.D</v>
      </c>
      <c r="B82" s="5">
        <f ca="1">MAX(Table3[Count])+ROWS(INDEX(Table4[Count],1):Table4[[#This Row],[Count]])</f>
        <v>69</v>
      </c>
      <c r="C82" s="5" t="s">
        <v>48</v>
      </c>
      <c r="D82" s="5" t="s">
        <v>278</v>
      </c>
      <c r="E82" s="5" t="s">
        <v>18</v>
      </c>
      <c r="F82" s="5" t="s">
        <v>127</v>
      </c>
      <c r="G82" s="5"/>
      <c r="H82" s="5"/>
      <c r="I82" s="5"/>
      <c r="J82" s="5"/>
      <c r="K82" s="5"/>
      <c r="L82" s="5"/>
      <c r="M82" s="5"/>
      <c r="N82" s="5"/>
      <c r="O82" s="5"/>
      <c r="P82" s="5"/>
      <c r="Q82" s="5"/>
      <c r="R82" s="5"/>
    </row>
    <row r="83" spans="1:18" ht="30" x14ac:dyDescent="0.25">
      <c r="A83" s="5" t="str">
        <f ca="1">"ANA"&amp;TEXT(Table4[[#This Row],[Count]],"000")&amp;"."&amp;IF(Table4[[#This Row],[Category]]="Essential","E",IF(Table4[[#This Row],[Category]]="Discretionary","D","O"))</f>
        <v>ANA070.O</v>
      </c>
      <c r="B83" s="5">
        <f ca="1">MAX(Table3[Count])+ROWS(INDEX(Table4[Count],1):Table4[[#This Row],[Count]])</f>
        <v>70</v>
      </c>
      <c r="C83" s="5" t="s">
        <v>48</v>
      </c>
      <c r="D83" s="5" t="s">
        <v>279</v>
      </c>
      <c r="E83" s="5" t="s">
        <v>23</v>
      </c>
      <c r="F83" s="5" t="s">
        <v>127</v>
      </c>
      <c r="G83" s="5"/>
      <c r="H83" s="5"/>
      <c r="I83" s="5"/>
      <c r="J83" s="5"/>
      <c r="K83" s="5"/>
      <c r="L83" s="5"/>
      <c r="M83" s="5"/>
      <c r="N83" s="5"/>
      <c r="O83" s="5"/>
      <c r="P83" s="5"/>
      <c r="Q83" s="5"/>
      <c r="R83" s="5" t="s">
        <v>137</v>
      </c>
    </row>
    <row r="84" spans="1:18" ht="30" x14ac:dyDescent="0.25">
      <c r="A84" s="5" t="str">
        <f ca="1">"ANA"&amp;TEXT(Table4[[#This Row],[Count]],"000")&amp;"."&amp;IF(Table4[[#This Row],[Category]]="Essential","E",IF(Table4[[#This Row],[Category]]="Discretionary","D","O"))</f>
        <v>ANA071.D</v>
      </c>
      <c r="B84" s="5">
        <f ca="1">MAX(Table3[Count])+ROWS(INDEX(Table4[Count],1):Table4[[#This Row],[Count]])</f>
        <v>71</v>
      </c>
      <c r="C84" s="5" t="s">
        <v>48</v>
      </c>
      <c r="D84" s="5" t="s">
        <v>280</v>
      </c>
      <c r="E84" s="5" t="s">
        <v>18</v>
      </c>
      <c r="F84" s="5" t="s">
        <v>127</v>
      </c>
      <c r="G84" s="5"/>
      <c r="H84" s="5"/>
      <c r="I84" s="5"/>
      <c r="J84" s="5"/>
      <c r="K84" s="5"/>
      <c r="L84" s="5"/>
      <c r="M84" s="5"/>
      <c r="N84" s="5"/>
      <c r="O84" s="5"/>
      <c r="P84" s="5"/>
      <c r="Q84" s="5"/>
      <c r="R84" s="5" t="s">
        <v>186</v>
      </c>
    </row>
    <row r="85" spans="1:18" x14ac:dyDescent="0.25">
      <c r="A85" s="5" t="str">
        <f ca="1">"ANA"&amp;TEXT(Table4[[#This Row],[Count]],"000")&amp;"."&amp;IF(Table4[[#This Row],[Category]]="Essential","E",IF(Table4[[#This Row],[Category]]="Discretionary","D","O"))</f>
        <v>ANA072.E</v>
      </c>
      <c r="B85" s="5">
        <f ca="1">MAX(Table3[Count])+ROWS(INDEX(Table4[Count],1):Table4[[#This Row],[Count]])</f>
        <v>72</v>
      </c>
      <c r="C85" s="5" t="s">
        <v>48</v>
      </c>
      <c r="D85" s="5" t="s">
        <v>281</v>
      </c>
      <c r="E85" s="5" t="s">
        <v>13</v>
      </c>
      <c r="F85" s="5"/>
      <c r="G85" s="5"/>
      <c r="H85" s="5"/>
      <c r="I85" s="5"/>
      <c r="J85" s="5"/>
      <c r="K85" s="5"/>
      <c r="L85" s="5"/>
      <c r="M85" s="5"/>
      <c r="N85" s="5"/>
      <c r="O85" s="5"/>
      <c r="P85" s="5"/>
      <c r="Q85" s="5"/>
      <c r="R85" s="5" t="s">
        <v>282</v>
      </c>
    </row>
    <row r="86" spans="1:18" x14ac:dyDescent="0.25">
      <c r="A86" s="5" t="str">
        <f ca="1">"ANA"&amp;TEXT(Table4[[#This Row],[Count]],"000")&amp;"."&amp;IF(Table4[[#This Row],[Category]]="Essential","E",IF(Table4[[#This Row],[Category]]="Discretionary","D","O"))</f>
        <v>ANA073.D</v>
      </c>
      <c r="B86" s="5">
        <f ca="1">MAX(Table3[Count])+ROWS(INDEX(Table4[Count],1):Table4[[#This Row],[Count]])</f>
        <v>73</v>
      </c>
      <c r="C86" s="5" t="s">
        <v>48</v>
      </c>
      <c r="D86" s="5" t="s">
        <v>283</v>
      </c>
      <c r="E86" s="5" t="s">
        <v>18</v>
      </c>
      <c r="F86" s="5" t="s">
        <v>127</v>
      </c>
      <c r="G86" s="5"/>
      <c r="H86" s="5"/>
      <c r="I86" s="5"/>
      <c r="J86" s="5"/>
      <c r="K86" s="5"/>
      <c r="L86" s="5"/>
      <c r="M86" s="5"/>
      <c r="N86" s="5"/>
      <c r="O86" s="5"/>
      <c r="P86" s="5"/>
      <c r="Q86" s="5"/>
      <c r="R86" s="5" t="s">
        <v>186</v>
      </c>
    </row>
    <row r="87" spans="1:18" ht="46.5" customHeight="1" x14ac:dyDescent="0.25">
      <c r="A87" s="5" t="str">
        <f ca="1">"ANA"&amp;TEXT(Table4[[#This Row],[Count]],"000")&amp;"."&amp;IF(Table4[[#This Row],[Category]]="Essential","E",IF(Table4[[#This Row],[Category]]="Discretionary","D","O"))</f>
        <v>ANA074.D</v>
      </c>
      <c r="B87" s="5">
        <f ca="1">MAX(Table3[Count])+ROWS(INDEX(Table4[Count],1):Table4[[#This Row],[Count]])</f>
        <v>74</v>
      </c>
      <c r="C87" s="5" t="s">
        <v>48</v>
      </c>
      <c r="D87" s="5" t="s">
        <v>284</v>
      </c>
      <c r="E87" s="5" t="s">
        <v>18</v>
      </c>
      <c r="F87" s="5" t="s">
        <v>127</v>
      </c>
      <c r="G87" s="5"/>
      <c r="H87" s="5"/>
      <c r="I87" s="5"/>
      <c r="J87" s="5"/>
      <c r="K87" s="5"/>
      <c r="L87" s="5"/>
      <c r="M87" s="5"/>
      <c r="N87" s="5"/>
      <c r="O87" s="5"/>
      <c r="P87" s="5"/>
      <c r="Q87" s="5"/>
      <c r="R87" s="5" t="s">
        <v>186</v>
      </c>
    </row>
    <row r="88" spans="1:18" x14ac:dyDescent="0.25">
      <c r="A88" s="5" t="str">
        <f ca="1">"ANA"&amp;TEXT(Table4[[#This Row],[Count]],"000")&amp;"."&amp;IF(Table4[[#This Row],[Category]]="Essential","E",IF(Table4[[#This Row],[Category]]="Discretionary","D","O"))</f>
        <v>ANA074.D</v>
      </c>
      <c r="B88" s="5">
        <f ca="1">MAX(Table3[Count])+ROWS(INDEX(Table4[Count],1):Table4[[#This Row],[Count]])</f>
        <v>75</v>
      </c>
      <c r="C88" s="49" t="s">
        <v>48</v>
      </c>
      <c r="D88" s="30" t="s">
        <v>285</v>
      </c>
      <c r="E88" s="31" t="s">
        <v>13</v>
      </c>
      <c r="F88" s="32"/>
      <c r="G88" s="32"/>
      <c r="H88" s="32"/>
      <c r="I88" s="32"/>
      <c r="J88" s="32"/>
      <c r="K88" s="32"/>
      <c r="L88" s="32"/>
      <c r="M88" s="33" t="s">
        <v>127</v>
      </c>
      <c r="N88" s="33" t="s">
        <v>127</v>
      </c>
      <c r="O88" s="33" t="s">
        <v>127</v>
      </c>
      <c r="P88" s="33" t="s">
        <v>127</v>
      </c>
      <c r="Q88" s="33" t="s">
        <v>127</v>
      </c>
      <c r="R88" s="32" t="s">
        <v>286</v>
      </c>
    </row>
  </sheetData>
  <mergeCells count="6">
    <mergeCell ref="A1:R1"/>
    <mergeCell ref="A3:R3"/>
    <mergeCell ref="A70:R70"/>
    <mergeCell ref="A57:R57"/>
    <mergeCell ref="A30:R30"/>
    <mergeCell ref="A2:R2"/>
  </mergeCells>
  <phoneticPr fontId="3" type="noConversion"/>
  <conditionalFormatting sqref="E6:E28 E33:E55">
    <cfRule type="containsText" dxfId="230" priority="61" operator="containsText" text="Other">
      <formula>NOT(ISERROR(SEARCH("Other",E6)))</formula>
    </cfRule>
    <cfRule type="containsText" dxfId="229" priority="62" operator="containsText" text="Discretionary">
      <formula>NOT(ISERROR(SEARCH("Discretionary",E6)))</formula>
    </cfRule>
    <cfRule type="containsText" dxfId="228" priority="63" operator="containsText" text="Essential">
      <formula>NOT(ISERROR(SEARCH("Essential",E6)))</formula>
    </cfRule>
  </conditionalFormatting>
  <conditionalFormatting sqref="E26:E28">
    <cfRule type="containsText" dxfId="227" priority="1" operator="containsText" text="Other">
      <formula>NOT(ISERROR(SEARCH("Other",E26)))</formula>
    </cfRule>
    <cfRule type="containsText" dxfId="226" priority="2" operator="containsText" text="Discretionary">
      <formula>NOT(ISERROR(SEARCH("Discretionary",E26)))</formula>
    </cfRule>
    <cfRule type="containsText" dxfId="225" priority="3" operator="containsText" text="Essential">
      <formula>NOT(ISERROR(SEARCH("Essential",E26)))</formula>
    </cfRule>
  </conditionalFormatting>
  <conditionalFormatting sqref="E29:E32 E56:E72 E89:E499">
    <cfRule type="containsText" dxfId="224" priority="83" operator="containsText" text="Other">
      <formula>NOT(ISERROR(SEARCH("Other",E29)))</formula>
    </cfRule>
    <cfRule type="containsText" dxfId="223" priority="85" operator="containsText" text="Discretionary">
      <formula>NOT(ISERROR(SEARCH("Discretionary",E29)))</formula>
    </cfRule>
    <cfRule type="containsText" dxfId="222" priority="86" operator="containsText" text="Essential">
      <formula>NOT(ISERROR(SEARCH("Essential",E29)))</formula>
    </cfRule>
  </conditionalFormatting>
  <conditionalFormatting sqref="E73:E88">
    <cfRule type="containsText" dxfId="221" priority="9" operator="containsText" text="Other">
      <formula>NOT(ISERROR(SEARCH("Other",E73)))</formula>
    </cfRule>
    <cfRule type="containsText" dxfId="220" priority="10" operator="containsText" text="Discretionary">
      <formula>NOT(ISERROR(SEARCH("Discretionary",E73)))</formula>
    </cfRule>
    <cfRule type="containsText" dxfId="219" priority="11" operator="containsText" text="Essential">
      <formula>NOT(ISERROR(SEARCH("Essential",E73)))</formula>
    </cfRule>
  </conditionalFormatting>
  <conditionalFormatting sqref="E24:P25 F6:Q21 F22:P23 Q22:Q25 F32:Q55">
    <cfRule type="containsText" dxfId="218" priority="68" operator="containsText" text="x">
      <formula>NOT(ISERROR(SEARCH("x",E6)))</formula>
    </cfRule>
  </conditionalFormatting>
  <conditionalFormatting sqref="E29:P29 E31:P31 E56:P56 E58:P58 E69:P69 E71:P71 E89:P701 F59:Q68">
    <cfRule type="containsText" dxfId="217" priority="87" operator="containsText" text="x">
      <formula>NOT(ISERROR(SEARCH("x",E29)))</formula>
    </cfRule>
  </conditionalFormatting>
  <conditionalFormatting sqref="F26:Q28">
    <cfRule type="containsText" dxfId="216" priority="4" operator="containsText" text="x">
      <formula>NOT(ISERROR(SEARCH("x",F26)))</formula>
    </cfRule>
  </conditionalFormatting>
  <conditionalFormatting sqref="F72:Q88">
    <cfRule type="containsText" dxfId="215" priority="12" operator="containsText" text="x">
      <formula>NOT(ISERROR(SEARCH("x",F72)))</formula>
    </cfRule>
  </conditionalFormatting>
  <dataValidations count="1">
    <dataValidation type="list" allowBlank="1" showInputMessage="1" showErrorMessage="1" sqref="E60:E68 E73:E88 E6:E28 E33:E55" xr:uid="{9F0BA49B-6BEC-4406-BE02-DD4A1D787C44}">
      <formula1>Cats</formula1>
    </dataValidation>
  </dataValidations>
  <pageMargins left="0.7" right="0.7" top="0.75" bottom="0.75" header="0.3" footer="0.3"/>
  <pageSetup paperSize="9" scale="48" fitToHeight="0" orientation="landscape" r:id="rId1"/>
  <headerFooter>
    <oddFooter>&amp;C&amp;P</oddFooter>
  </headerFooter>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2F68-4F8F-4FBC-A6DC-D105AE501352}">
  <sheetPr>
    <pageSetUpPr fitToPage="1"/>
  </sheetPr>
  <dimension ref="A1:R18"/>
  <sheetViews>
    <sheetView view="pageLayout" zoomScaleNormal="100" workbookViewId="0">
      <selection activeCell="A6" sqref="A6"/>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style="2" customWidth="1"/>
  </cols>
  <sheetData>
    <row r="1" spans="1:18" ht="31.5" x14ac:dyDescent="0.5">
      <c r="A1" s="57" t="s">
        <v>287</v>
      </c>
      <c r="B1" s="57"/>
      <c r="C1" s="57"/>
      <c r="D1" s="57"/>
      <c r="E1" s="57"/>
      <c r="F1" s="57"/>
      <c r="G1" s="57"/>
      <c r="H1" s="57"/>
      <c r="I1" s="57"/>
      <c r="J1" s="57"/>
      <c r="K1" s="57"/>
      <c r="L1" s="57"/>
      <c r="M1" s="57"/>
      <c r="N1" s="57"/>
      <c r="O1" s="57"/>
      <c r="P1" s="57"/>
      <c r="Q1" s="57"/>
      <c r="R1" s="57"/>
    </row>
    <row r="2" spans="1:18" ht="45" customHeight="1" x14ac:dyDescent="0.25">
      <c r="A2" s="68" t="s">
        <v>152</v>
      </c>
      <c r="B2" s="68"/>
      <c r="C2" s="68"/>
      <c r="D2" s="68"/>
      <c r="E2" s="68"/>
      <c r="F2" s="68"/>
      <c r="G2" s="68"/>
      <c r="H2" s="68"/>
      <c r="I2" s="68"/>
      <c r="J2" s="68"/>
      <c r="K2" s="68"/>
      <c r="L2" s="68"/>
      <c r="M2" s="68"/>
      <c r="N2" s="68"/>
      <c r="O2" s="68"/>
      <c r="P2" s="68"/>
      <c r="Q2" s="68"/>
      <c r="R2" s="68"/>
    </row>
    <row r="3" spans="1:18" x14ac:dyDescent="0.25">
      <c r="A3" s="58" t="s">
        <v>63</v>
      </c>
      <c r="B3" s="58"/>
      <c r="C3" s="58"/>
      <c r="D3" s="58"/>
      <c r="E3" s="58"/>
      <c r="F3" s="58"/>
      <c r="G3" s="58"/>
      <c r="H3" s="58"/>
      <c r="I3" s="58"/>
      <c r="J3" s="58"/>
      <c r="K3" s="58"/>
      <c r="L3" s="58"/>
      <c r="M3" s="58"/>
      <c r="N3" s="58"/>
      <c r="O3" s="58"/>
      <c r="P3" s="58"/>
      <c r="Q3" s="58"/>
      <c r="R3" s="58"/>
    </row>
    <row r="5" spans="1:18" x14ac:dyDescent="0.25">
      <c r="A5" s="3" t="s">
        <v>120</v>
      </c>
      <c r="B5" s="3" t="s">
        <v>121</v>
      </c>
      <c r="C5" s="6"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"ACCS"&amp;TEXT(Table5[[#This Row],[Count]],"000")&amp;"."&amp;IF(Table5[[#This Row],[Category]]="Essential","E",IF(Table5[[#This Row],[Category]]="Discretionary","D","O"))</f>
        <v>ACCS001.E</v>
      </c>
      <c r="B6" s="2">
        <f>ROW()-ROW(Table5[[#Headers],[Count]])</f>
        <v>1</v>
      </c>
      <c r="C6" s="2" t="s">
        <v>63</v>
      </c>
      <c r="D6" s="5" t="s">
        <v>288</v>
      </c>
      <c r="E6" s="2" t="s">
        <v>13</v>
      </c>
      <c r="G6" s="2" t="s">
        <v>127</v>
      </c>
      <c r="H6" s="2" t="s">
        <v>127</v>
      </c>
      <c r="J6" s="2" t="s">
        <v>127</v>
      </c>
      <c r="K6" s="2" t="s">
        <v>127</v>
      </c>
      <c r="Q6" s="2"/>
      <c r="R6" s="5"/>
    </row>
    <row r="7" spans="1:18" x14ac:dyDescent="0.25">
      <c r="A7" s="2" t="str">
        <f>"ACCS"&amp;TEXT(Table5[[#This Row],[Count]],"000")&amp;"."&amp;IF(Table5[[#This Row],[Category]]="Essential","E",IF(Table5[[#This Row],[Category]]="Discretionary","D","O"))</f>
        <v>ACCS002.E</v>
      </c>
      <c r="B7" s="2">
        <f>ROW()-ROW(Table5[[#Headers],[Count]])</f>
        <v>2</v>
      </c>
      <c r="C7" s="2" t="s">
        <v>63</v>
      </c>
      <c r="D7" s="5" t="s">
        <v>289</v>
      </c>
      <c r="E7" s="2" t="s">
        <v>13</v>
      </c>
      <c r="G7" s="2" t="s">
        <v>127</v>
      </c>
      <c r="H7" s="2" t="s">
        <v>127</v>
      </c>
      <c r="J7" s="2" t="s">
        <v>127</v>
      </c>
      <c r="K7" s="2" t="s">
        <v>127</v>
      </c>
      <c r="Q7" s="2"/>
      <c r="R7" s="5"/>
    </row>
    <row r="8" spans="1:18" x14ac:dyDescent="0.25">
      <c r="A8" s="2" t="str">
        <f>"ACCS"&amp;TEXT(Table5[[#This Row],[Count]],"000")&amp;"."&amp;IF(Table5[[#This Row],[Category]]="Essential","E",IF(Table5[[#This Row],[Category]]="Discretionary","D","O"))</f>
        <v>ACCS003.E</v>
      </c>
      <c r="B8" s="2">
        <f>ROW()-ROW(Table5[[#Headers],[Count]])</f>
        <v>3</v>
      </c>
      <c r="C8" s="2" t="s">
        <v>63</v>
      </c>
      <c r="D8" s="5" t="s">
        <v>290</v>
      </c>
      <c r="E8" s="2" t="s">
        <v>13</v>
      </c>
      <c r="G8" s="2" t="s">
        <v>127</v>
      </c>
      <c r="H8" s="2" t="s">
        <v>127</v>
      </c>
      <c r="J8" s="2" t="s">
        <v>127</v>
      </c>
      <c r="K8" s="2" t="s">
        <v>127</v>
      </c>
      <c r="Q8" s="2"/>
      <c r="R8" s="5" t="s">
        <v>291</v>
      </c>
    </row>
    <row r="9" spans="1:18" x14ac:dyDescent="0.25">
      <c r="A9" s="2" t="str">
        <f>"ACCS"&amp;TEXT(Table5[[#This Row],[Count]],"000")&amp;"."&amp;IF(Table5[[#This Row],[Category]]="Essential","E",IF(Table5[[#This Row],[Category]]="Discretionary","D","O"))</f>
        <v>ACCS004.E</v>
      </c>
      <c r="B9" s="2">
        <f>ROW()-ROW(Table5[[#Headers],[Count]])</f>
        <v>4</v>
      </c>
      <c r="C9" s="2" t="s">
        <v>63</v>
      </c>
      <c r="D9" s="5" t="s">
        <v>292</v>
      </c>
      <c r="E9" s="2" t="s">
        <v>13</v>
      </c>
      <c r="G9" s="2" t="s">
        <v>127</v>
      </c>
      <c r="H9" s="2" t="s">
        <v>127</v>
      </c>
      <c r="J9" s="2" t="s">
        <v>127</v>
      </c>
      <c r="K9" s="2" t="s">
        <v>127</v>
      </c>
      <c r="Q9" s="2"/>
      <c r="R9" s="5" t="s">
        <v>291</v>
      </c>
    </row>
    <row r="11" spans="1:18" x14ac:dyDescent="0.25">
      <c r="A11" s="58" t="s">
        <v>293</v>
      </c>
      <c r="B11" s="58"/>
      <c r="C11" s="58"/>
      <c r="D11" s="58"/>
      <c r="E11" s="58"/>
      <c r="F11" s="58"/>
      <c r="G11" s="58"/>
      <c r="H11" s="58"/>
      <c r="I11" s="58"/>
      <c r="J11" s="58"/>
      <c r="K11" s="58"/>
      <c r="L11" s="58"/>
      <c r="M11" s="58"/>
      <c r="N11" s="58"/>
      <c r="O11" s="58"/>
      <c r="P11" s="58"/>
      <c r="Q11" s="58"/>
      <c r="R11" s="58"/>
    </row>
    <row r="13" spans="1:18" x14ac:dyDescent="0.25">
      <c r="A13" s="6" t="s">
        <v>120</v>
      </c>
      <c r="B13" s="6" t="s">
        <v>121</v>
      </c>
      <c r="C13" s="6" t="s">
        <v>122</v>
      </c>
      <c r="D13" s="7" t="s">
        <v>123</v>
      </c>
      <c r="E13" s="6" t="s">
        <v>8</v>
      </c>
      <c r="F13" s="6" t="s">
        <v>124</v>
      </c>
      <c r="G13" s="6" t="s">
        <v>154</v>
      </c>
      <c r="H13" s="6" t="s">
        <v>155</v>
      </c>
      <c r="I13" s="6" t="s">
        <v>156</v>
      </c>
      <c r="J13" s="6" t="s">
        <v>157</v>
      </c>
      <c r="K13" s="6" t="s">
        <v>158</v>
      </c>
      <c r="L13" s="6" t="s">
        <v>159</v>
      </c>
      <c r="M13" s="6" t="s">
        <v>160</v>
      </c>
      <c r="N13" s="6" t="s">
        <v>161</v>
      </c>
      <c r="O13" s="6" t="s">
        <v>162</v>
      </c>
      <c r="P13" s="6" t="s">
        <v>163</v>
      </c>
      <c r="Q13" s="6" t="s">
        <v>164</v>
      </c>
      <c r="R13" s="6" t="s">
        <v>125</v>
      </c>
    </row>
    <row r="14" spans="1:18" ht="30" x14ac:dyDescent="0.25">
      <c r="A14" s="5" t="str">
        <f>"ACCS"&amp;TEXT(Table6[[#This Row],[Count]],"000")&amp;"."&amp;IF(Table6[[#This Row],[Category]]="Essential","E",IF(Table6[[#This Row],[Category]]="Discretionary","D","O"))</f>
        <v>ACCS005.D</v>
      </c>
      <c r="B14" s="5">
        <f>MAX(Table5[Count])+ROWS(INDEX(Table6[Count],1):Table6[[#This Row],[Count]])</f>
        <v>5</v>
      </c>
      <c r="C14" s="5" t="s">
        <v>72</v>
      </c>
      <c r="D14" s="5" t="s">
        <v>294</v>
      </c>
      <c r="E14" s="5" t="s">
        <v>18</v>
      </c>
      <c r="F14" s="5"/>
      <c r="G14" s="5"/>
      <c r="H14" s="5"/>
      <c r="I14" s="5"/>
      <c r="J14" s="5"/>
      <c r="K14" s="5"/>
      <c r="L14" s="5"/>
      <c r="M14" s="5"/>
      <c r="N14" s="5"/>
      <c r="O14" s="5"/>
      <c r="P14" s="5"/>
      <c r="Q14" s="5"/>
      <c r="R14" s="5"/>
    </row>
    <row r="15" spans="1:18" ht="30" x14ac:dyDescent="0.25">
      <c r="A15" s="5" t="str">
        <f>"ACCS"&amp;TEXT(Table6[[#This Row],[Count]],"000")&amp;"."&amp;IF(Table6[[#This Row],[Category]]="Essential","E",IF(Table6[[#This Row],[Category]]="Discretionary","D","O"))</f>
        <v>ACCS006.O</v>
      </c>
      <c r="B15" s="5">
        <f>MAX(Table5[Count])+ROWS(INDEX(Table6[Count],1):Table6[[#This Row],[Count]])</f>
        <v>6</v>
      </c>
      <c r="C15" s="5" t="s">
        <v>72</v>
      </c>
      <c r="D15" s="5" t="s">
        <v>295</v>
      </c>
      <c r="E15" s="5" t="s">
        <v>23</v>
      </c>
      <c r="F15" s="5"/>
      <c r="G15" s="5" t="s">
        <v>127</v>
      </c>
      <c r="H15" s="5" t="s">
        <v>127</v>
      </c>
      <c r="I15" s="5"/>
      <c r="J15" s="5"/>
      <c r="K15" s="5"/>
      <c r="L15" s="5"/>
      <c r="M15" s="5"/>
      <c r="N15" s="5"/>
      <c r="O15" s="5"/>
      <c r="P15" s="5"/>
      <c r="Q15" s="5"/>
      <c r="R15" s="5" t="s">
        <v>296</v>
      </c>
    </row>
    <row r="16" spans="1:18" ht="45" x14ac:dyDescent="0.25">
      <c r="A16" s="5" t="str">
        <f>"ACCS"&amp;TEXT(Table6[[#This Row],[Count]],"000")&amp;"."&amp;IF(Table6[[#This Row],[Category]]="Essential","E",IF(Table6[[#This Row],[Category]]="Discretionary","D","O"))</f>
        <v>ACCS007.E</v>
      </c>
      <c r="B16" s="5">
        <f>MAX(Table5[Count])+ROWS(INDEX(Table6[Count],1):Table6[[#This Row],[Count]])</f>
        <v>7</v>
      </c>
      <c r="C16" s="5" t="s">
        <v>70</v>
      </c>
      <c r="D16" s="5" t="s">
        <v>297</v>
      </c>
      <c r="E16" s="2" t="s">
        <v>13</v>
      </c>
      <c r="F16" s="5"/>
      <c r="G16" s="5"/>
      <c r="H16" s="5"/>
      <c r="I16" s="5"/>
      <c r="J16" s="5"/>
      <c r="K16" s="5"/>
      <c r="L16" s="5"/>
      <c r="M16" s="5"/>
      <c r="N16" s="5"/>
      <c r="O16" s="5"/>
      <c r="P16" s="5"/>
      <c r="Q16" s="5"/>
      <c r="R16" s="5"/>
    </row>
    <row r="17" spans="1:18" x14ac:dyDescent="0.25">
      <c r="A17" s="5" t="str">
        <f>"ACCS"&amp;TEXT(Table6[[#This Row],[Count]],"000")&amp;"."&amp;IF(Table6[[#This Row],[Category]]="Essential","E",IF(Table6[[#This Row],[Category]]="Discretionary","D","O"))</f>
        <v>ACCS008.O</v>
      </c>
      <c r="B17" s="5">
        <f>MAX(Table5[Count])+ROWS(INDEX(Table6[Count],1):Table6[[#This Row],[Count]])</f>
        <v>8</v>
      </c>
      <c r="C17" s="5" t="s">
        <v>298</v>
      </c>
      <c r="D17" s="5" t="s">
        <v>299</v>
      </c>
      <c r="E17" s="5" t="s">
        <v>23</v>
      </c>
      <c r="F17" s="5"/>
      <c r="G17" s="5" t="s">
        <v>127</v>
      </c>
      <c r="H17" s="5" t="s">
        <v>127</v>
      </c>
      <c r="I17" s="5"/>
      <c r="J17" s="5"/>
      <c r="K17" s="5"/>
      <c r="L17" s="5"/>
      <c r="M17" s="5"/>
      <c r="N17" s="5"/>
      <c r="O17" s="5"/>
      <c r="P17" s="5"/>
      <c r="Q17" s="5"/>
      <c r="R17" s="5" t="s">
        <v>300</v>
      </c>
    </row>
    <row r="18" spans="1:18" ht="30" x14ac:dyDescent="0.25">
      <c r="A18" s="5" t="str">
        <f>"ACCS"&amp;TEXT(Table6[[#This Row],[Count]],"000")&amp;"."&amp;IF(Table6[[#This Row],[Category]]="Essential","E",IF(Table6[[#This Row],[Category]]="Discretionary","D","O"))</f>
        <v>ACCS009.O</v>
      </c>
      <c r="B18" s="5">
        <f>MAX(Table5[Count])+ROWS(INDEX(Table6[Count],1):Table6[[#This Row],[Count]])</f>
        <v>9</v>
      </c>
      <c r="C18" s="5" t="s">
        <v>301</v>
      </c>
      <c r="D18" s="5" t="s">
        <v>302</v>
      </c>
      <c r="E18" s="5" t="s">
        <v>23</v>
      </c>
      <c r="F18" s="5"/>
      <c r="G18" s="5"/>
      <c r="H18" s="5"/>
      <c r="I18" s="5"/>
      <c r="J18" s="5" t="s">
        <v>127</v>
      </c>
      <c r="K18" s="5" t="s">
        <v>127</v>
      </c>
      <c r="L18" s="5"/>
      <c r="M18" s="5"/>
      <c r="N18" s="5"/>
      <c r="O18" s="5"/>
      <c r="P18" s="5"/>
      <c r="Q18" s="5"/>
      <c r="R18" s="5" t="s">
        <v>303</v>
      </c>
    </row>
  </sheetData>
  <mergeCells count="4">
    <mergeCell ref="A1:R1"/>
    <mergeCell ref="A3:R3"/>
    <mergeCell ref="A11:R11"/>
    <mergeCell ref="A2:R2"/>
  </mergeCells>
  <conditionalFormatting sqref="E6:E500">
    <cfRule type="containsText" dxfId="214" priority="1" operator="containsText" text="Other">
      <formula>NOT(ISERROR(SEARCH("Other",E6)))</formula>
    </cfRule>
    <cfRule type="containsText" dxfId="213" priority="3" operator="containsText" text="Discretionary">
      <formula>NOT(ISERROR(SEARCH("Discretionary",E6)))</formula>
    </cfRule>
    <cfRule type="containsText" dxfId="212" priority="4" operator="containsText" text="Essential">
      <formula>NOT(ISERROR(SEARCH("Essential",E6)))</formula>
    </cfRule>
  </conditionalFormatting>
  <conditionalFormatting sqref="E10:P10 E12:P12 E19:P629 F6:Q9 F13:Q18">
    <cfRule type="containsText" dxfId="211" priority="5" operator="containsText" text="x">
      <formula>NOT(ISERROR(SEARCH("x",E6)))</formula>
    </cfRule>
  </conditionalFormatting>
  <dataValidations count="1">
    <dataValidation type="list" allowBlank="1" showInputMessage="1" showErrorMessage="1" sqref="E6:E9 E14:E18" xr:uid="{D5262ED3-E11D-4ADA-ACDB-1E10F6B148B6}">
      <formula1>Cats</formula1>
    </dataValidation>
  </dataValidations>
  <pageMargins left="0.7" right="0.7" top="0.75" bottom="0.75" header="0.3" footer="0.3"/>
  <pageSetup paperSize="9" scale="48" fitToHeight="0" orientation="landscape" r:id="rId1"/>
  <headerFooter>
    <oddFooter>&amp;C&amp;P</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1B16-ACCE-4DB1-859E-478F86A3E1ED}">
  <sheetPr>
    <pageSetUpPr fitToPage="1"/>
  </sheetPr>
  <dimension ref="A1:R29"/>
  <sheetViews>
    <sheetView view="pageLayout" topLeftCell="A13" zoomScaleNormal="100" workbookViewId="0">
      <selection activeCell="D12" sqref="D12"/>
    </sheetView>
  </sheetViews>
  <sheetFormatPr defaultRowHeight="15" x14ac:dyDescent="0.25"/>
  <cols>
    <col min="1" max="1" width="17.42578125" customWidth="1"/>
    <col min="2" max="2" width="17.42578125" hidden="1" customWidth="1"/>
    <col min="3" max="3" width="25" style="5" customWidth="1"/>
    <col min="4" max="4" width="30.5703125" style="5" customWidth="1"/>
    <col min="5" max="5" width="13.7109375" style="2" bestFit="1" customWidth="1"/>
    <col min="6" max="17" width="9.140625" style="2"/>
    <col min="18" max="18" width="68.5703125" style="5" customWidth="1"/>
  </cols>
  <sheetData>
    <row r="1" spans="1:18" ht="31.5" x14ac:dyDescent="0.5">
      <c r="A1" s="57" t="s">
        <v>304</v>
      </c>
      <c r="B1" s="57"/>
      <c r="C1" s="57"/>
      <c r="D1" s="57"/>
      <c r="E1" s="57"/>
      <c r="F1" s="57"/>
      <c r="G1" s="57"/>
      <c r="H1" s="57"/>
      <c r="I1" s="57"/>
      <c r="J1" s="57"/>
      <c r="K1" s="57"/>
      <c r="L1" s="57"/>
      <c r="M1" s="57"/>
      <c r="N1" s="57"/>
      <c r="O1" s="57"/>
      <c r="P1" s="57"/>
      <c r="Q1" s="57"/>
      <c r="R1" s="57"/>
    </row>
    <row r="2" spans="1:18" ht="51" customHeight="1" x14ac:dyDescent="0.25">
      <c r="A2" s="68" t="s">
        <v>152</v>
      </c>
      <c r="B2" s="68"/>
      <c r="C2" s="68"/>
      <c r="D2" s="68"/>
      <c r="E2" s="68"/>
      <c r="F2" s="68"/>
      <c r="G2" s="68"/>
      <c r="H2" s="68"/>
      <c r="I2" s="68"/>
      <c r="J2" s="68"/>
      <c r="K2" s="68"/>
      <c r="L2" s="68"/>
      <c r="M2" s="68"/>
      <c r="N2" s="68"/>
      <c r="O2" s="68"/>
      <c r="P2" s="68"/>
      <c r="Q2" s="68"/>
      <c r="R2" s="68"/>
    </row>
    <row r="3" spans="1:18" x14ac:dyDescent="0.25">
      <c r="A3" s="58" t="s">
        <v>305</v>
      </c>
      <c r="B3" s="58"/>
      <c r="C3" s="58"/>
      <c r="D3" s="58"/>
      <c r="E3" s="58"/>
      <c r="F3" s="58"/>
      <c r="G3" s="58"/>
      <c r="H3" s="58"/>
      <c r="I3" s="58"/>
      <c r="J3" s="58"/>
      <c r="K3" s="58"/>
      <c r="L3" s="58"/>
      <c r="M3" s="58"/>
      <c r="N3" s="58"/>
      <c r="O3" s="58"/>
      <c r="P3" s="58"/>
      <c r="Q3" s="58"/>
      <c r="R3" s="58"/>
    </row>
    <row r="5" spans="1:18" x14ac:dyDescent="0.25">
      <c r="A5" s="3" t="s">
        <v>120</v>
      </c>
      <c r="B5" s="3"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ht="45" x14ac:dyDescent="0.25">
      <c r="A6" s="2" t="s">
        <v>306</v>
      </c>
      <c r="B6" s="2" t="e">
        <f>ROW()-ROW([1]!Table7[[#Headers],[Count]])</f>
        <v>#REF!</v>
      </c>
      <c r="C6" s="5" t="s">
        <v>307</v>
      </c>
      <c r="D6" s="5" t="s">
        <v>308</v>
      </c>
      <c r="E6" s="2" t="s">
        <v>13</v>
      </c>
      <c r="J6" s="2" t="s">
        <v>127</v>
      </c>
      <c r="K6" s="2" t="s">
        <v>127</v>
      </c>
      <c r="L6" s="2" t="s">
        <v>127</v>
      </c>
      <c r="M6" s="2" t="s">
        <v>127</v>
      </c>
      <c r="N6" s="2" t="s">
        <v>127</v>
      </c>
      <c r="O6" s="2" t="s">
        <v>127</v>
      </c>
    </row>
    <row r="7" spans="1:18" ht="51" customHeight="1" x14ac:dyDescent="0.25">
      <c r="A7" s="2" t="s">
        <v>309</v>
      </c>
      <c r="B7" s="2" t="e">
        <f>ROW()-ROW([1]!Table7[[#Headers],[Count]])</f>
        <v>#REF!</v>
      </c>
      <c r="C7" s="5" t="s">
        <v>307</v>
      </c>
      <c r="D7" s="5" t="s">
        <v>310</v>
      </c>
      <c r="E7" s="2" t="s">
        <v>13</v>
      </c>
      <c r="J7" s="2" t="s">
        <v>127</v>
      </c>
      <c r="K7" s="2" t="s">
        <v>127</v>
      </c>
      <c r="L7" s="2" t="s">
        <v>127</v>
      </c>
      <c r="M7" s="2" t="s">
        <v>127</v>
      </c>
      <c r="N7" s="2" t="s">
        <v>127</v>
      </c>
      <c r="O7" s="2" t="s">
        <v>127</v>
      </c>
    </row>
    <row r="8" spans="1:18" ht="45" x14ac:dyDescent="0.25">
      <c r="A8" s="2" t="s">
        <v>311</v>
      </c>
      <c r="B8" s="2" t="e">
        <f>ROW()-ROW([1]!Table7[[#Headers],[Count]])</f>
        <v>#REF!</v>
      </c>
      <c r="C8" s="5" t="s">
        <v>307</v>
      </c>
      <c r="D8" s="5" t="s">
        <v>312</v>
      </c>
      <c r="E8" s="2" t="s">
        <v>13</v>
      </c>
      <c r="L8" s="2" t="s">
        <v>127</v>
      </c>
      <c r="M8" s="2" t="s">
        <v>127</v>
      </c>
      <c r="N8" s="2" t="s">
        <v>127</v>
      </c>
      <c r="O8" s="2" t="s">
        <v>127</v>
      </c>
    </row>
    <row r="9" spans="1:18" ht="30" x14ac:dyDescent="0.25">
      <c r="A9" s="2" t="s">
        <v>313</v>
      </c>
      <c r="B9" s="2" t="e">
        <f>ROW()-ROW([1]!Table7[[#Headers],[Count]])</f>
        <v>#REF!</v>
      </c>
      <c r="C9" s="5" t="s">
        <v>307</v>
      </c>
      <c r="D9" s="5" t="s">
        <v>314</v>
      </c>
      <c r="E9" s="2" t="s">
        <v>13</v>
      </c>
      <c r="J9" s="2" t="s">
        <v>127</v>
      </c>
    </row>
    <row r="10" spans="1:18" ht="30" x14ac:dyDescent="0.25">
      <c r="A10" s="2" t="s">
        <v>315</v>
      </c>
      <c r="B10" s="2" t="e">
        <f>ROW()-ROW([1]!Table7[[#Headers],[Count]])</f>
        <v>#REF!</v>
      </c>
      <c r="C10" s="5" t="s">
        <v>307</v>
      </c>
      <c r="D10" s="5" t="s">
        <v>316</v>
      </c>
      <c r="E10" s="2" t="s">
        <v>13</v>
      </c>
      <c r="M10" s="2" t="s">
        <v>127</v>
      </c>
      <c r="N10" s="2" t="s">
        <v>127</v>
      </c>
    </row>
    <row r="11" spans="1:18" ht="60" x14ac:dyDescent="0.25">
      <c r="A11" s="2" t="s">
        <v>317</v>
      </c>
      <c r="B11" s="2" t="e">
        <f>ROW()-ROW([1]!Table7[[#Headers],[Count]])</f>
        <v>#REF!</v>
      </c>
      <c r="C11" s="5" t="s">
        <v>307</v>
      </c>
      <c r="D11" s="38" t="s">
        <v>318</v>
      </c>
      <c r="E11" s="2" t="s">
        <v>13</v>
      </c>
      <c r="J11" s="2" t="s">
        <v>127</v>
      </c>
      <c r="K11" s="2" t="s">
        <v>127</v>
      </c>
      <c r="L11" s="2" t="s">
        <v>127</v>
      </c>
      <c r="M11" s="2" t="s">
        <v>127</v>
      </c>
      <c r="N11" s="2" t="s">
        <v>127</v>
      </c>
      <c r="O11" s="2" t="s">
        <v>127</v>
      </c>
    </row>
    <row r="12" spans="1:18" ht="30" x14ac:dyDescent="0.25">
      <c r="A12" s="2" t="s">
        <v>319</v>
      </c>
      <c r="B12" s="2" t="e">
        <f>ROW()-ROW([1]!Table7[[#Headers],[Count]])</f>
        <v>#REF!</v>
      </c>
      <c r="C12" s="5" t="s">
        <v>307</v>
      </c>
      <c r="D12" s="5" t="s">
        <v>320</v>
      </c>
      <c r="E12" s="2" t="s">
        <v>13</v>
      </c>
      <c r="N12" s="2" t="s">
        <v>127</v>
      </c>
      <c r="O12" s="2" t="s">
        <v>127</v>
      </c>
      <c r="R12" s="5" t="s">
        <v>321</v>
      </c>
    </row>
    <row r="13" spans="1:18" ht="30" x14ac:dyDescent="0.25">
      <c r="A13" s="2" t="s">
        <v>322</v>
      </c>
      <c r="B13" s="2" t="e">
        <f>ROW()-ROW([1]!Table7[[#Headers],[Count]])</f>
        <v>#REF!</v>
      </c>
      <c r="C13" s="5" t="s">
        <v>307</v>
      </c>
      <c r="D13" s="5" t="s">
        <v>323</v>
      </c>
      <c r="E13" s="2" t="s">
        <v>13</v>
      </c>
      <c r="L13" s="2" t="s">
        <v>127</v>
      </c>
      <c r="M13" s="2" t="s">
        <v>127</v>
      </c>
      <c r="N13" s="2" t="s">
        <v>127</v>
      </c>
      <c r="O13" s="2" t="s">
        <v>127</v>
      </c>
    </row>
    <row r="14" spans="1:18" ht="45" x14ac:dyDescent="0.25">
      <c r="A14" s="2" t="s">
        <v>324</v>
      </c>
      <c r="B14" s="2" t="e">
        <f>ROW()-ROW([1]!Table7[[#Headers],[Count]])</f>
        <v>#REF!</v>
      </c>
      <c r="C14" s="5" t="s">
        <v>307</v>
      </c>
      <c r="D14" s="5" t="s">
        <v>325</v>
      </c>
      <c r="E14" s="2" t="s">
        <v>13</v>
      </c>
      <c r="M14" s="2" t="s">
        <v>127</v>
      </c>
      <c r="N14" s="2" t="s">
        <v>127</v>
      </c>
      <c r="O14" s="2" t="s">
        <v>127</v>
      </c>
    </row>
    <row r="15" spans="1:18" ht="30" x14ac:dyDescent="0.25">
      <c r="A15" s="2" t="s">
        <v>326</v>
      </c>
      <c r="B15" s="2" t="e">
        <f>ROW()-ROW([1]!Table7[[#Headers],[Count]])</f>
        <v>#REF!</v>
      </c>
      <c r="C15" s="5" t="s">
        <v>307</v>
      </c>
      <c r="D15" s="5" t="s">
        <v>327</v>
      </c>
      <c r="E15" s="2" t="s">
        <v>13</v>
      </c>
      <c r="M15" s="2" t="s">
        <v>127</v>
      </c>
      <c r="N15" s="2" t="s">
        <v>127</v>
      </c>
      <c r="O15" s="2" t="s">
        <v>127</v>
      </c>
    </row>
    <row r="16" spans="1:18" ht="60" x14ac:dyDescent="0.25">
      <c r="A16" s="2" t="s">
        <v>328</v>
      </c>
      <c r="B16" s="2" t="e">
        <f>ROW()-ROW([1]!Table7[[#Headers],[Count]])</f>
        <v>#REF!</v>
      </c>
      <c r="C16" s="5" t="s">
        <v>307</v>
      </c>
      <c r="D16" s="5" t="s">
        <v>329</v>
      </c>
      <c r="E16" s="2" t="s">
        <v>13</v>
      </c>
      <c r="J16" s="2" t="s">
        <v>127</v>
      </c>
      <c r="K16" s="2" t="s">
        <v>127</v>
      </c>
      <c r="L16" s="2" t="s">
        <v>127</v>
      </c>
      <c r="M16" s="2" t="s">
        <v>127</v>
      </c>
      <c r="N16" s="2" t="s">
        <v>127</v>
      </c>
      <c r="O16" s="2" t="s">
        <v>127</v>
      </c>
      <c r="R16" s="5" t="s">
        <v>330</v>
      </c>
    </row>
    <row r="17" spans="1:18" ht="30" x14ac:dyDescent="0.25">
      <c r="A17" s="2" t="s">
        <v>331</v>
      </c>
      <c r="B17" s="2" t="e">
        <f>ROW()-ROW([1]!Table7[[#Headers],[Count]])</f>
        <v>#REF!</v>
      </c>
      <c r="C17" s="5" t="s">
        <v>307</v>
      </c>
      <c r="D17" s="5" t="s">
        <v>332</v>
      </c>
      <c r="E17" s="2" t="s">
        <v>13</v>
      </c>
      <c r="K17" s="2" t="s">
        <v>127</v>
      </c>
      <c r="L17" s="2" t="s">
        <v>127</v>
      </c>
    </row>
    <row r="18" spans="1:18" ht="60" x14ac:dyDescent="0.25">
      <c r="A18" s="2" t="s">
        <v>333</v>
      </c>
      <c r="B18" s="2" t="e">
        <f>ROW()-ROW([1]!Table7[[#Headers],[Count]])</f>
        <v>#REF!</v>
      </c>
      <c r="C18" s="5" t="s">
        <v>307</v>
      </c>
      <c r="D18" s="5" t="s">
        <v>334</v>
      </c>
      <c r="E18" s="2" t="s">
        <v>13</v>
      </c>
      <c r="J18" s="2" t="s">
        <v>127</v>
      </c>
      <c r="K18" s="2" t="s">
        <v>127</v>
      </c>
      <c r="L18" s="2" t="s">
        <v>127</v>
      </c>
    </row>
    <row r="19" spans="1:18" ht="30" x14ac:dyDescent="0.25">
      <c r="A19" s="2" t="s">
        <v>335</v>
      </c>
      <c r="B19" s="2" t="e">
        <f>ROW()-ROW([1]!Table7[[#Headers],[Count]])</f>
        <v>#REF!</v>
      </c>
      <c r="C19" s="5" t="s">
        <v>307</v>
      </c>
      <c r="D19" s="5" t="s">
        <v>336</v>
      </c>
      <c r="E19" s="2" t="s">
        <v>13</v>
      </c>
      <c r="J19" s="2" t="s">
        <v>127</v>
      </c>
      <c r="K19" s="2" t="s">
        <v>127</v>
      </c>
      <c r="L19" s="2" t="s">
        <v>127</v>
      </c>
    </row>
    <row r="20" spans="1:18" ht="45" x14ac:dyDescent="0.25">
      <c r="A20" s="2" t="s">
        <v>337</v>
      </c>
      <c r="B20" s="2" t="e">
        <f>ROW()-ROW([1]!Table7[[#Headers],[Count]])</f>
        <v>#REF!</v>
      </c>
      <c r="C20" s="5" t="s">
        <v>307</v>
      </c>
      <c r="D20" s="5" t="s">
        <v>338</v>
      </c>
      <c r="E20" s="2" t="s">
        <v>13</v>
      </c>
      <c r="J20" s="2" t="s">
        <v>127</v>
      </c>
      <c r="K20" s="2" t="s">
        <v>127</v>
      </c>
      <c r="L20" s="2" t="s">
        <v>127</v>
      </c>
      <c r="M20" s="2" t="s">
        <v>127</v>
      </c>
    </row>
    <row r="21" spans="1:18" ht="90" x14ac:dyDescent="0.25">
      <c r="A21" s="2" t="s">
        <v>339</v>
      </c>
      <c r="B21" s="2" t="e">
        <f>ROW()-ROW([1]!Table7[[#Headers],[Count]])</f>
        <v>#REF!</v>
      </c>
      <c r="C21" s="5" t="s">
        <v>307</v>
      </c>
      <c r="D21" s="5" t="s">
        <v>340</v>
      </c>
      <c r="E21" s="2" t="s">
        <v>13</v>
      </c>
      <c r="J21" s="2" t="s">
        <v>127</v>
      </c>
      <c r="K21" s="2" t="s">
        <v>127</v>
      </c>
      <c r="L21" s="2" t="s">
        <v>127</v>
      </c>
      <c r="M21" s="2" t="s">
        <v>127</v>
      </c>
      <c r="N21" s="2" t="s">
        <v>127</v>
      </c>
      <c r="O21" s="2" t="s">
        <v>127</v>
      </c>
    </row>
    <row r="22" spans="1:18" ht="30" x14ac:dyDescent="0.25">
      <c r="A22" s="2" t="s">
        <v>341</v>
      </c>
      <c r="B22" s="2" t="e">
        <f>ROW()-ROW([1]!Table7[[#Headers],[Count]])</f>
        <v>#REF!</v>
      </c>
      <c r="C22" s="5" t="s">
        <v>307</v>
      </c>
      <c r="D22" s="5" t="s">
        <v>342</v>
      </c>
      <c r="E22" s="2" t="s">
        <v>18</v>
      </c>
      <c r="M22" s="2" t="s">
        <v>127</v>
      </c>
      <c r="N22" s="2" t="s">
        <v>127</v>
      </c>
      <c r="O22" s="2" t="s">
        <v>127</v>
      </c>
    </row>
    <row r="23" spans="1:18" ht="30" x14ac:dyDescent="0.25">
      <c r="A23" s="2" t="s">
        <v>343</v>
      </c>
      <c r="B23" s="2" t="e">
        <f>ROW()-ROW([1]!Table7[[#Headers],[Count]])</f>
        <v>#REF!</v>
      </c>
      <c r="C23" s="5" t="s">
        <v>307</v>
      </c>
      <c r="D23" s="5" t="s">
        <v>344</v>
      </c>
      <c r="E23" s="2" t="s">
        <v>13</v>
      </c>
      <c r="L23" s="2" t="s">
        <v>127</v>
      </c>
      <c r="M23" s="2" t="s">
        <v>127</v>
      </c>
      <c r="N23" s="2" t="s">
        <v>127</v>
      </c>
    </row>
    <row r="24" spans="1:18" ht="30" x14ac:dyDescent="0.25">
      <c r="A24" s="37" t="s">
        <v>345</v>
      </c>
      <c r="B24" s="22" t="e">
        <f>ROW()-ROW([2]!Table7[[#Headers],[Count]])</f>
        <v>#REF!</v>
      </c>
      <c r="C24" s="29" t="s">
        <v>307</v>
      </c>
      <c r="D24" s="29" t="s">
        <v>346</v>
      </c>
      <c r="E24" s="22" t="s">
        <v>13</v>
      </c>
      <c r="F24" s="22"/>
      <c r="G24" s="22"/>
      <c r="H24" s="22"/>
      <c r="I24" s="22"/>
      <c r="J24" s="22" t="s">
        <v>127</v>
      </c>
      <c r="K24" s="22" t="s">
        <v>127</v>
      </c>
      <c r="L24" s="22" t="s">
        <v>127</v>
      </c>
      <c r="M24" s="22" t="s">
        <v>127</v>
      </c>
      <c r="N24" s="22" t="s">
        <v>127</v>
      </c>
      <c r="O24" s="22" t="s">
        <v>127</v>
      </c>
      <c r="P24" s="22"/>
      <c r="Q24" s="22"/>
      <c r="R24" s="29"/>
    </row>
    <row r="25" spans="1:18" ht="30" x14ac:dyDescent="0.25">
      <c r="A25" s="37" t="s">
        <v>347</v>
      </c>
      <c r="B25" s="37" t="e">
        <f>ROW()-ROW([2]!Table7[[#Headers],[Count]])</f>
        <v>#REF!</v>
      </c>
      <c r="C25" s="24" t="s">
        <v>307</v>
      </c>
      <c r="D25" s="24" t="s">
        <v>348</v>
      </c>
      <c r="E25" s="37" t="s">
        <v>13</v>
      </c>
      <c r="F25" s="37"/>
      <c r="G25" s="37"/>
      <c r="H25" s="37"/>
      <c r="I25" s="37"/>
      <c r="J25" s="37"/>
      <c r="K25" s="37"/>
      <c r="L25" s="37"/>
      <c r="M25" s="37"/>
      <c r="N25" s="37" t="s">
        <v>127</v>
      </c>
      <c r="O25" s="37" t="s">
        <v>127</v>
      </c>
      <c r="P25" s="37"/>
      <c r="Q25" s="37"/>
      <c r="R25" s="24"/>
    </row>
    <row r="26" spans="1:18" ht="30" x14ac:dyDescent="0.25">
      <c r="A26" s="37" t="s">
        <v>349</v>
      </c>
      <c r="B26" s="22" t="e">
        <f>ROW()-ROW([2]!Table7[[#Headers],[Count]])</f>
        <v>#REF!</v>
      </c>
      <c r="C26" s="29" t="s">
        <v>307</v>
      </c>
      <c r="D26" s="29" t="s">
        <v>350</v>
      </c>
      <c r="E26" s="22" t="s">
        <v>18</v>
      </c>
      <c r="F26" s="22"/>
      <c r="G26" s="22"/>
      <c r="H26" s="22"/>
      <c r="I26" s="22"/>
      <c r="J26" s="22"/>
      <c r="K26" s="22" t="s">
        <v>127</v>
      </c>
      <c r="L26" s="22" t="s">
        <v>127</v>
      </c>
      <c r="M26" s="22" t="s">
        <v>127</v>
      </c>
      <c r="N26" s="22" t="s">
        <v>127</v>
      </c>
      <c r="O26" s="22" t="s">
        <v>127</v>
      </c>
      <c r="P26" s="22"/>
      <c r="Q26" s="22"/>
      <c r="R26" s="29"/>
    </row>
    <row r="27" spans="1:18" ht="60" x14ac:dyDescent="0.25">
      <c r="A27" s="37" t="s">
        <v>351</v>
      </c>
      <c r="B27" s="37" t="e">
        <f>ROW()-ROW([2]!Table7[[#Headers],[Count]])</f>
        <v>#REF!</v>
      </c>
      <c r="C27" s="24" t="s">
        <v>307</v>
      </c>
      <c r="D27" s="24" t="s">
        <v>352</v>
      </c>
      <c r="E27" s="37" t="s">
        <v>13</v>
      </c>
      <c r="F27" s="37"/>
      <c r="G27" s="37"/>
      <c r="H27" s="37"/>
      <c r="I27" s="37"/>
      <c r="J27" s="37"/>
      <c r="K27" s="37"/>
      <c r="L27" s="37" t="s">
        <v>127</v>
      </c>
      <c r="M27" s="37" t="s">
        <v>127</v>
      </c>
      <c r="N27" s="37" t="s">
        <v>127</v>
      </c>
      <c r="O27" s="37" t="s">
        <v>127</v>
      </c>
      <c r="P27" s="37"/>
      <c r="Q27" s="37"/>
      <c r="R27" s="24"/>
    </row>
    <row r="28" spans="1:18" ht="30" x14ac:dyDescent="0.25">
      <c r="A28" s="37" t="s">
        <v>353</v>
      </c>
      <c r="B28" s="22" t="e">
        <f>ROW()-ROW([2]!Table7[[#Headers],[Count]])</f>
        <v>#REF!</v>
      </c>
      <c r="C28" s="29" t="s">
        <v>307</v>
      </c>
      <c r="D28" s="29" t="s">
        <v>354</v>
      </c>
      <c r="E28" s="22" t="s">
        <v>13</v>
      </c>
      <c r="F28" s="22"/>
      <c r="G28" s="22"/>
      <c r="H28" s="22"/>
      <c r="I28" s="22"/>
      <c r="J28" s="22"/>
      <c r="K28" s="22"/>
      <c r="L28" s="22" t="s">
        <v>127</v>
      </c>
      <c r="M28" s="22" t="s">
        <v>127</v>
      </c>
      <c r="N28" s="22" t="s">
        <v>127</v>
      </c>
      <c r="O28" s="22" t="s">
        <v>127</v>
      </c>
      <c r="P28" s="22"/>
      <c r="Q28" s="22"/>
      <c r="R28" s="29"/>
    </row>
    <row r="29" spans="1:18" ht="30" x14ac:dyDescent="0.25">
      <c r="A29" s="37" t="s">
        <v>355</v>
      </c>
      <c r="B29" s="51" t="e">
        <f>ROW()-ROW([2]!Table7[[#Headers],[Count]])</f>
        <v>#REF!</v>
      </c>
      <c r="C29" s="32" t="s">
        <v>307</v>
      </c>
      <c r="D29" s="32" t="s">
        <v>356</v>
      </c>
      <c r="E29" s="51" t="s">
        <v>13</v>
      </c>
      <c r="F29" s="51"/>
      <c r="G29" s="51"/>
      <c r="H29" s="51"/>
      <c r="I29" s="51"/>
      <c r="J29" s="51" t="s">
        <v>127</v>
      </c>
      <c r="K29" s="51" t="s">
        <v>127</v>
      </c>
      <c r="L29" s="51" t="s">
        <v>127</v>
      </c>
      <c r="M29" s="51"/>
      <c r="N29" s="51"/>
      <c r="O29" s="51"/>
      <c r="P29" s="51"/>
      <c r="Q29" s="51"/>
      <c r="R29" s="32"/>
    </row>
  </sheetData>
  <mergeCells count="3">
    <mergeCell ref="A1:R1"/>
    <mergeCell ref="A3:R3"/>
    <mergeCell ref="A2:R2"/>
  </mergeCells>
  <conditionalFormatting sqref="E6:E619">
    <cfRule type="containsText" dxfId="210" priority="1" operator="containsText" text="Other">
      <formula>NOT(ISERROR(SEARCH("Other",E6)))</formula>
    </cfRule>
    <cfRule type="containsText" dxfId="209" priority="2" operator="containsText" text="Discretionary">
      <formula>NOT(ISERROR(SEARCH("Discretionary",E6)))</formula>
    </cfRule>
    <cfRule type="containsText" dxfId="208" priority="3" operator="containsText" text="Essential">
      <formula>NOT(ISERROR(SEARCH("Essential",E6)))</formula>
    </cfRule>
  </conditionalFormatting>
  <conditionalFormatting sqref="F6:Q619">
    <cfRule type="containsText" dxfId="207" priority="4" operator="containsText" text="x">
      <formula>NOT(ISERROR(SEARCH("x",F6)))</formula>
    </cfRule>
  </conditionalFormatting>
  <dataValidations count="1">
    <dataValidation type="list" allowBlank="1" showInputMessage="1" showErrorMessage="1" sqref="E6:E29" xr:uid="{227EEEB4-1999-4807-9EC2-A6840D33BC1E}">
      <formula1>Cats</formula1>
    </dataValidation>
  </dataValidations>
  <pageMargins left="0.7" right="0.7" top="0.75" bottom="0.75" header="0.3" footer="0.3"/>
  <pageSetup paperSize="9" scale="49" fitToHeight="0" orientation="landscape" r:id="rId1"/>
  <headerFooter>
    <oddFooter>&amp;C&amp;P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A0D6F-B20E-487D-87B4-90DE0DC1B6D9}">
  <sheetPr>
    <pageSetUpPr fitToPage="1"/>
  </sheetPr>
  <dimension ref="A1:R75"/>
  <sheetViews>
    <sheetView view="pageLayout" zoomScaleNormal="100" workbookViewId="0">
      <selection activeCell="S1" sqref="S1:S1048576"/>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customWidth="1"/>
  </cols>
  <sheetData>
    <row r="1" spans="1:18" ht="31.5" x14ac:dyDescent="0.5">
      <c r="A1" s="57" t="s">
        <v>95</v>
      </c>
      <c r="B1" s="57"/>
      <c r="C1" s="57"/>
      <c r="D1" s="57"/>
      <c r="E1" s="57"/>
      <c r="F1" s="57"/>
      <c r="G1" s="57"/>
      <c r="H1" s="57"/>
      <c r="I1" s="57"/>
      <c r="J1" s="57"/>
      <c r="K1" s="57"/>
      <c r="L1" s="57"/>
      <c r="M1" s="57"/>
      <c r="N1" s="57"/>
      <c r="O1" s="57"/>
      <c r="P1" s="57"/>
      <c r="Q1" s="57"/>
      <c r="R1" s="57"/>
    </row>
    <row r="2" spans="1:18" ht="46.5" customHeight="1" x14ac:dyDescent="0.25">
      <c r="A2" s="68" t="s">
        <v>152</v>
      </c>
      <c r="B2" s="68"/>
      <c r="C2" s="68"/>
      <c r="D2" s="68"/>
      <c r="E2" s="68"/>
      <c r="F2" s="68"/>
      <c r="G2" s="68"/>
      <c r="H2" s="68"/>
      <c r="I2" s="68"/>
      <c r="J2" s="68"/>
      <c r="K2" s="68"/>
      <c r="L2" s="68"/>
      <c r="M2" s="68"/>
      <c r="N2" s="68"/>
      <c r="O2" s="68"/>
      <c r="P2" s="68"/>
      <c r="Q2" s="68"/>
      <c r="R2" s="68"/>
    </row>
    <row r="3" spans="1:18" x14ac:dyDescent="0.25">
      <c r="A3" s="58" t="s">
        <v>357</v>
      </c>
      <c r="B3" s="58"/>
      <c r="C3" s="58"/>
      <c r="D3" s="58"/>
      <c r="E3" s="58"/>
      <c r="F3" s="58"/>
      <c r="G3" s="58"/>
      <c r="H3" s="58"/>
      <c r="I3" s="58"/>
      <c r="J3" s="58"/>
      <c r="K3" s="58"/>
      <c r="L3" s="58"/>
      <c r="M3" s="58"/>
      <c r="N3" s="58"/>
      <c r="O3" s="58"/>
      <c r="P3" s="58"/>
      <c r="Q3" s="58"/>
      <c r="R3" s="58"/>
    </row>
    <row r="5" spans="1:18" x14ac:dyDescent="0.25">
      <c r="A5" s="3" t="s">
        <v>120</v>
      </c>
      <c r="B5" s="3"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3" t="s">
        <v>125</v>
      </c>
    </row>
    <row r="6" spans="1:18" ht="75" x14ac:dyDescent="0.25">
      <c r="A6" s="2" t="str">
        <f>"EM"&amp;TEXT(Table8[[#This Row],[Count]],"000")&amp;"."&amp;IF(Table8[[#This Row],[Category]]="Essential","E",IF(Table8[[#This Row],[Category]]="Discretionary","D","O"))</f>
        <v>EM001.E</v>
      </c>
      <c r="B6" s="2">
        <f>ROW()-ROW(Table8[[#Headers],[Count]])</f>
        <v>1</v>
      </c>
      <c r="C6" s="5" t="s">
        <v>357</v>
      </c>
      <c r="D6" s="5" t="s">
        <v>358</v>
      </c>
      <c r="E6" s="2" t="s">
        <v>13</v>
      </c>
      <c r="G6" s="2" t="s">
        <v>127</v>
      </c>
      <c r="H6" s="2" t="s">
        <v>127</v>
      </c>
      <c r="I6" s="2" t="s">
        <v>127</v>
      </c>
      <c r="J6" s="2" t="s">
        <v>127</v>
      </c>
      <c r="K6" s="2" t="s">
        <v>127</v>
      </c>
      <c r="L6" s="2" t="s">
        <v>127</v>
      </c>
      <c r="Q6" s="2"/>
      <c r="R6" s="1" t="s">
        <v>359</v>
      </c>
    </row>
    <row r="7" spans="1:18" ht="30" x14ac:dyDescent="0.25">
      <c r="A7" s="2" t="str">
        <f>"EM"&amp;TEXT(Table8[[#This Row],[Count]],"000")&amp;"."&amp;IF(Table8[[#This Row],[Category]]="Essential","E",IF(Table8[[#This Row],[Category]]="Discretionary","D","O"))</f>
        <v>EM002.E</v>
      </c>
      <c r="B7" s="2">
        <f>ROW()-ROW(Table8[[#Headers],[Count]])</f>
        <v>2</v>
      </c>
      <c r="C7" s="5" t="s">
        <v>357</v>
      </c>
      <c r="D7" s="5" t="s">
        <v>360</v>
      </c>
      <c r="E7" s="2" t="s">
        <v>13</v>
      </c>
      <c r="G7" s="2" t="s">
        <v>127</v>
      </c>
      <c r="H7" s="2" t="s">
        <v>127</v>
      </c>
      <c r="I7" s="2" t="s">
        <v>127</v>
      </c>
      <c r="J7" s="2" t="s">
        <v>127</v>
      </c>
      <c r="K7" s="2" t="s">
        <v>127</v>
      </c>
      <c r="L7" s="2" t="s">
        <v>127</v>
      </c>
      <c r="Q7" s="2"/>
      <c r="R7" s="1" t="s">
        <v>361</v>
      </c>
    </row>
    <row r="8" spans="1:18" ht="45" x14ac:dyDescent="0.25">
      <c r="A8" s="2" t="str">
        <f>"EM"&amp;TEXT(Table8[[#This Row],[Count]],"000")&amp;"."&amp;IF(Table8[[#This Row],[Category]]="Essential","E",IF(Table8[[#This Row],[Category]]="Discretionary","D","O"))</f>
        <v>EM003.E</v>
      </c>
      <c r="B8" s="2">
        <f>ROW()-ROW(Table8[[#Headers],[Count]])</f>
        <v>3</v>
      </c>
      <c r="C8" s="5" t="s">
        <v>357</v>
      </c>
      <c r="D8" s="5" t="s">
        <v>362</v>
      </c>
      <c r="E8" s="2" t="s">
        <v>13</v>
      </c>
      <c r="G8" s="2" t="s">
        <v>127</v>
      </c>
      <c r="H8" s="2" t="s">
        <v>127</v>
      </c>
      <c r="I8" s="2" t="s">
        <v>127</v>
      </c>
      <c r="J8" s="2" t="s">
        <v>127</v>
      </c>
      <c r="K8" s="2" t="s">
        <v>127</v>
      </c>
      <c r="L8" s="2" t="s">
        <v>127</v>
      </c>
      <c r="Q8" s="2"/>
      <c r="R8" s="1" t="s">
        <v>363</v>
      </c>
    </row>
    <row r="9" spans="1:18" ht="30" x14ac:dyDescent="0.25">
      <c r="A9" s="2" t="str">
        <f>"EM"&amp;TEXT(Table8[[#This Row],[Count]],"000")&amp;"."&amp;IF(Table8[[#This Row],[Category]]="Essential","E",IF(Table8[[#This Row],[Category]]="Discretionary","D","O"))</f>
        <v>EM004.E</v>
      </c>
      <c r="B9" s="2">
        <f>ROW()-ROW(Table8[[#Headers],[Count]])</f>
        <v>4</v>
      </c>
      <c r="C9" s="5" t="s">
        <v>357</v>
      </c>
      <c r="D9" s="5" t="s">
        <v>364</v>
      </c>
      <c r="E9" s="2" t="s">
        <v>13</v>
      </c>
      <c r="F9" s="2" t="s">
        <v>127</v>
      </c>
      <c r="Q9" s="2"/>
      <c r="R9" s="1"/>
    </row>
    <row r="10" spans="1:18" ht="45" x14ac:dyDescent="0.25">
      <c r="A10" s="2" t="str">
        <f>"EM"&amp;TEXT(Table8[[#This Row],[Count]],"000")&amp;"."&amp;IF(Table8[[#This Row],[Category]]="Essential","E",IF(Table8[[#This Row],[Category]]="Discretionary","D","O"))</f>
        <v>EM005.E</v>
      </c>
      <c r="B10" s="2">
        <f>ROW()-ROW(Table8[[#Headers],[Count]])</f>
        <v>5</v>
      </c>
      <c r="C10" s="5" t="s">
        <v>357</v>
      </c>
      <c r="D10" s="5" t="s">
        <v>365</v>
      </c>
      <c r="E10" s="2" t="s">
        <v>13</v>
      </c>
      <c r="F10" s="2" t="s">
        <v>127</v>
      </c>
      <c r="Q10" s="2"/>
      <c r="R10" s="1"/>
    </row>
    <row r="11" spans="1:18" ht="75" x14ac:dyDescent="0.25">
      <c r="A11" s="2" t="str">
        <f>"EM"&amp;TEXT(Table8[[#This Row],[Count]],"000")&amp;"."&amp;IF(Table8[[#This Row],[Category]]="Essential","E",IF(Table8[[#This Row],[Category]]="Discretionary","D","O"))</f>
        <v>EM006.E</v>
      </c>
      <c r="B11" s="2">
        <f>ROW()-ROW(Table8[[#Headers],[Count]])</f>
        <v>6</v>
      </c>
      <c r="C11" s="5" t="s">
        <v>357</v>
      </c>
      <c r="D11" s="38" t="s">
        <v>366</v>
      </c>
      <c r="E11" s="2" t="s">
        <v>13</v>
      </c>
      <c r="F11" s="2" t="s">
        <v>127</v>
      </c>
      <c r="Q11" s="2"/>
      <c r="R11" s="1" t="s">
        <v>367</v>
      </c>
    </row>
    <row r="12" spans="1:18" ht="30" x14ac:dyDescent="0.25">
      <c r="A12" s="2" t="str">
        <f>"EM"&amp;TEXT(Table8[[#This Row],[Count]],"000")&amp;"."&amp;IF(Table8[[#This Row],[Category]]="Essential","E",IF(Table8[[#This Row],[Category]]="Discretionary","D","O"))</f>
        <v>EM007.E</v>
      </c>
      <c r="B12" s="2">
        <f>ROW()-ROW(Table8[[#Headers],[Count]])</f>
        <v>7</v>
      </c>
      <c r="C12" s="5" t="s">
        <v>357</v>
      </c>
      <c r="D12" s="5" t="s">
        <v>368</v>
      </c>
      <c r="E12" s="2" t="s">
        <v>13</v>
      </c>
      <c r="F12" s="2" t="s">
        <v>127</v>
      </c>
      <c r="Q12" s="2"/>
      <c r="R12" s="1"/>
    </row>
    <row r="13" spans="1:18" ht="30" x14ac:dyDescent="0.25">
      <c r="A13" s="2" t="str">
        <f>"EM"&amp;TEXT(Table8[[#This Row],[Count]],"000")&amp;"."&amp;IF(Table8[[#This Row],[Category]]="Essential","E",IF(Table8[[#This Row],[Category]]="Discretionary","D","O"))</f>
        <v>EM008.O</v>
      </c>
      <c r="B13" s="2">
        <f>ROW()-ROW(Table8[[#Headers],[Count]])</f>
        <v>8</v>
      </c>
      <c r="C13" s="5" t="s">
        <v>357</v>
      </c>
      <c r="D13" s="5" t="s">
        <v>369</v>
      </c>
      <c r="E13" s="2" t="s">
        <v>23</v>
      </c>
      <c r="F13" s="2" t="s">
        <v>127</v>
      </c>
      <c r="Q13" s="2"/>
      <c r="R13" s="5" t="s">
        <v>370</v>
      </c>
    </row>
    <row r="14" spans="1:18" ht="30" x14ac:dyDescent="0.25">
      <c r="A14" s="2" t="str">
        <f>"EM"&amp;TEXT(Table8[[#This Row],[Count]],"000")&amp;"."&amp;IF(Table8[[#This Row],[Category]]="Essential","E",IF(Table8[[#This Row],[Category]]="Discretionary","D","O"))</f>
        <v>EM009.E</v>
      </c>
      <c r="B14" s="2">
        <f>ROW()-ROW(Table8[[#Headers],[Count]])</f>
        <v>9</v>
      </c>
      <c r="C14" s="5" t="s">
        <v>357</v>
      </c>
      <c r="D14" s="5" t="s">
        <v>371</v>
      </c>
      <c r="E14" s="2" t="s">
        <v>13</v>
      </c>
      <c r="F14" s="2" t="s">
        <v>127</v>
      </c>
      <c r="Q14" s="2"/>
      <c r="R14" s="1"/>
    </row>
    <row r="15" spans="1:18" ht="45" x14ac:dyDescent="0.25">
      <c r="A15" s="2" t="str">
        <f>"EM"&amp;TEXT(Table8[[#This Row],[Count]],"000")&amp;"."&amp;IF(Table8[[#This Row],[Category]]="Essential","E",IF(Table8[[#This Row],[Category]]="Discretionary","D","O"))</f>
        <v>EM010.E</v>
      </c>
      <c r="B15" s="2">
        <f>ROW()-ROW(Table8[[#Headers],[Count]])</f>
        <v>10</v>
      </c>
      <c r="C15" s="5" t="s">
        <v>357</v>
      </c>
      <c r="D15" s="5" t="s">
        <v>372</v>
      </c>
      <c r="E15" s="2" t="s">
        <v>13</v>
      </c>
      <c r="F15" s="2" t="s">
        <v>127</v>
      </c>
      <c r="Q15" s="2"/>
      <c r="R15" s="1"/>
    </row>
    <row r="16" spans="1:18" ht="30" x14ac:dyDescent="0.25">
      <c r="A16" s="2" t="str">
        <f>"EM"&amp;TEXT(Table8[[#This Row],[Count]],"000")&amp;"."&amp;IF(Table8[[#This Row],[Category]]="Essential","E",IF(Table8[[#This Row],[Category]]="Discretionary","D","O"))</f>
        <v>EM011.E</v>
      </c>
      <c r="B16" s="2">
        <f>ROW()-ROW(Table8[[#Headers],[Count]])</f>
        <v>11</v>
      </c>
      <c r="C16" s="5" t="s">
        <v>357</v>
      </c>
      <c r="D16" s="5" t="s">
        <v>373</v>
      </c>
      <c r="E16" s="2" t="s">
        <v>13</v>
      </c>
      <c r="F16" s="2" t="s">
        <v>127</v>
      </c>
      <c r="Q16" s="2"/>
      <c r="R16" s="1" t="s">
        <v>374</v>
      </c>
    </row>
    <row r="17" spans="1:18" ht="30" x14ac:dyDescent="0.25">
      <c r="A17" s="2" t="str">
        <f>"EM"&amp;TEXT(Table8[[#This Row],[Count]],"000")&amp;"."&amp;IF(Table8[[#This Row],[Category]]="Essential","E",IF(Table8[[#This Row],[Category]]="Discretionary","D","O"))</f>
        <v>EM012.E</v>
      </c>
      <c r="B17" s="2">
        <f>ROW()-ROW(Table8[[#Headers],[Count]])</f>
        <v>12</v>
      </c>
      <c r="C17" s="5" t="s">
        <v>357</v>
      </c>
      <c r="D17" s="5" t="s">
        <v>375</v>
      </c>
      <c r="E17" s="2" t="s">
        <v>13</v>
      </c>
      <c r="G17" s="2" t="s">
        <v>127</v>
      </c>
      <c r="H17" s="2" t="s">
        <v>127</v>
      </c>
      <c r="I17" s="2" t="s">
        <v>127</v>
      </c>
      <c r="J17" s="2" t="s">
        <v>127</v>
      </c>
      <c r="K17" s="2" t="s">
        <v>127</v>
      </c>
      <c r="L17" s="2" t="s">
        <v>127</v>
      </c>
      <c r="Q17" s="2"/>
      <c r="R17" s="1" t="s">
        <v>376</v>
      </c>
    </row>
    <row r="18" spans="1:18" ht="30" x14ac:dyDescent="0.25">
      <c r="A18" s="2" t="str">
        <f>"EM"&amp;TEXT(Table8[[#This Row],[Count]],"000")&amp;"."&amp;IF(Table8[[#This Row],[Category]]="Essential","E",IF(Table8[[#This Row],[Category]]="Discretionary","D","O"))</f>
        <v>EM013.E</v>
      </c>
      <c r="B18" s="2">
        <f>ROW()-ROW(Table8[[#Headers],[Count]])</f>
        <v>13</v>
      </c>
      <c r="C18" s="5" t="s">
        <v>357</v>
      </c>
      <c r="D18" s="5" t="s">
        <v>377</v>
      </c>
      <c r="E18" s="2" t="s">
        <v>13</v>
      </c>
      <c r="F18" s="2" t="s">
        <v>127</v>
      </c>
      <c r="Q18" s="2"/>
      <c r="R18" s="1"/>
    </row>
    <row r="19" spans="1:18" ht="75" x14ac:dyDescent="0.25">
      <c r="A19" s="2" t="str">
        <f>"EM"&amp;TEXT(Table8[[#This Row],[Count]],"000")&amp;"."&amp;IF(Table8[[#This Row],[Category]]="Essential","E",IF(Table8[[#This Row],[Category]]="Discretionary","D","O"))</f>
        <v>EM014.E</v>
      </c>
      <c r="B19" s="2">
        <f>ROW()-ROW(Table8[[#Headers],[Count]])</f>
        <v>14</v>
      </c>
      <c r="C19" s="5" t="s">
        <v>357</v>
      </c>
      <c r="D19" s="5" t="s">
        <v>378</v>
      </c>
      <c r="E19" s="2" t="s">
        <v>13</v>
      </c>
      <c r="G19" s="2" t="s">
        <v>127</v>
      </c>
      <c r="H19" s="2" t="s">
        <v>127</v>
      </c>
      <c r="I19" s="2" t="s">
        <v>127</v>
      </c>
      <c r="J19" s="2" t="s">
        <v>127</v>
      </c>
      <c r="K19" s="2" t="s">
        <v>127</v>
      </c>
      <c r="L19" s="2" t="s">
        <v>127</v>
      </c>
      <c r="Q19" s="2"/>
      <c r="R19" s="1" t="s">
        <v>359</v>
      </c>
    </row>
    <row r="20" spans="1:18" ht="30" x14ac:dyDescent="0.25">
      <c r="A20" s="2" t="str">
        <f>"EM"&amp;TEXT(Table8[[#This Row],[Count]],"000")&amp;"."&amp;IF(Table8[[#This Row],[Category]]="Essential","E",IF(Table8[[#This Row],[Category]]="Discretionary","D","O"))</f>
        <v>EM015.O</v>
      </c>
      <c r="B20" s="2">
        <f>ROW()-ROW(Table8[[#Headers],[Count]])</f>
        <v>15</v>
      </c>
      <c r="C20" s="5" t="s">
        <v>357</v>
      </c>
      <c r="D20" s="5" t="s">
        <v>379</v>
      </c>
      <c r="E20" s="2" t="s">
        <v>23</v>
      </c>
      <c r="F20" s="2" t="s">
        <v>127</v>
      </c>
      <c r="Q20" s="2"/>
      <c r="R20" s="5" t="s">
        <v>132</v>
      </c>
    </row>
    <row r="21" spans="1:18" ht="30" x14ac:dyDescent="0.25">
      <c r="A21" s="2" t="str">
        <f>"EM"&amp;TEXT(Table8[[#This Row],[Count]],"000")&amp;"."&amp;IF(Table8[[#This Row],[Category]]="Essential","E",IF(Table8[[#This Row],[Category]]="Discretionary","D","O"))</f>
        <v>EM016.O</v>
      </c>
      <c r="B21" s="2">
        <f>ROW()-ROW(Table8[[#Headers],[Count]])</f>
        <v>16</v>
      </c>
      <c r="C21" s="5" t="s">
        <v>357</v>
      </c>
      <c r="D21" s="5" t="s">
        <v>380</v>
      </c>
      <c r="E21" s="2" t="s">
        <v>23</v>
      </c>
      <c r="F21" s="2" t="s">
        <v>127</v>
      </c>
      <c r="Q21" s="2"/>
      <c r="R21" s="1" t="s">
        <v>149</v>
      </c>
    </row>
    <row r="22" spans="1:18" x14ac:dyDescent="0.25">
      <c r="A22" s="58" t="s">
        <v>95</v>
      </c>
      <c r="B22" s="58"/>
      <c r="C22" s="58"/>
      <c r="D22" s="58"/>
      <c r="E22" s="58"/>
      <c r="F22" s="58"/>
      <c r="G22" s="58"/>
      <c r="H22" s="58"/>
      <c r="I22" s="58"/>
      <c r="J22" s="58"/>
      <c r="K22" s="58"/>
      <c r="L22" s="58"/>
      <c r="M22" s="58"/>
      <c r="N22" s="58"/>
      <c r="O22" s="58"/>
      <c r="P22" s="58"/>
      <c r="Q22" s="58"/>
      <c r="R22" s="58"/>
    </row>
    <row r="24" spans="1:18" x14ac:dyDescent="0.25">
      <c r="A24" s="6" t="s">
        <v>120</v>
      </c>
      <c r="B24" s="6" t="s">
        <v>121</v>
      </c>
      <c r="C24" s="7" t="s">
        <v>122</v>
      </c>
      <c r="D24" s="7" t="s">
        <v>123</v>
      </c>
      <c r="E24" s="6" t="s">
        <v>8</v>
      </c>
      <c r="F24" s="6" t="s">
        <v>124</v>
      </c>
      <c r="G24" s="6" t="s">
        <v>154</v>
      </c>
      <c r="H24" s="6" t="s">
        <v>155</v>
      </c>
      <c r="I24" s="6" t="s">
        <v>156</v>
      </c>
      <c r="J24" s="6" t="s">
        <v>157</v>
      </c>
      <c r="K24" s="6" t="s">
        <v>158</v>
      </c>
      <c r="L24" s="6" t="s">
        <v>159</v>
      </c>
      <c r="M24" s="6" t="s">
        <v>160</v>
      </c>
      <c r="N24" s="6" t="s">
        <v>161</v>
      </c>
      <c r="O24" s="6" t="s">
        <v>162</v>
      </c>
      <c r="P24" s="6" t="s">
        <v>163</v>
      </c>
      <c r="Q24" s="6" t="s">
        <v>164</v>
      </c>
      <c r="R24" s="6" t="s">
        <v>125</v>
      </c>
    </row>
    <row r="25" spans="1:18" ht="30" x14ac:dyDescent="0.25">
      <c r="A25" s="5" t="str">
        <f>"EM"&amp;TEXT(Table9[[#This Row],[Count]],"000")&amp;"."&amp;IF(Table9[[#This Row],[Category]]="Essential","E",IF(Table9[[#This Row],[Category]]="Discretionary","D","O"))</f>
        <v>EM017.E</v>
      </c>
      <c r="B25" s="5">
        <f>MAX(Table8[Count])+ROWS(INDEX(Table9[Count],1):Table9[[#This Row],[Count]])</f>
        <v>17</v>
      </c>
      <c r="C25" s="5" t="s">
        <v>95</v>
      </c>
      <c r="D25" s="5" t="s">
        <v>381</v>
      </c>
      <c r="E25" s="5" t="s">
        <v>13</v>
      </c>
      <c r="F25" s="5" t="s">
        <v>127</v>
      </c>
      <c r="G25" s="5"/>
      <c r="H25" s="5"/>
      <c r="I25" s="5"/>
      <c r="J25" s="5"/>
      <c r="K25" s="5"/>
      <c r="L25" s="5"/>
      <c r="M25" s="5"/>
      <c r="N25" s="5"/>
      <c r="O25" s="5"/>
      <c r="P25" s="5"/>
      <c r="Q25" s="5"/>
      <c r="R25" s="5"/>
    </row>
    <row r="26" spans="1:18" x14ac:dyDescent="0.25">
      <c r="A26" s="5" t="str">
        <f>"EM"&amp;TEXT(Table9[[#This Row],[Count]],"000")&amp;"."&amp;IF(Table9[[#This Row],[Category]]="Essential","E",IF(Table9[[#This Row],[Category]]="Discretionary","D","O"))</f>
        <v>EM018.O</v>
      </c>
      <c r="B26" s="5">
        <f>MAX(Table8[Count])+ROWS(INDEX(Table9[Count],1):Table9[[#This Row],[Count]])</f>
        <v>18</v>
      </c>
      <c r="C26" s="5" t="s">
        <v>95</v>
      </c>
      <c r="D26" s="5" t="s">
        <v>379</v>
      </c>
      <c r="E26" s="5" t="s">
        <v>23</v>
      </c>
      <c r="F26" s="5" t="s">
        <v>127</v>
      </c>
      <c r="G26" s="5"/>
      <c r="H26" s="5"/>
      <c r="I26" s="5"/>
      <c r="J26" s="5"/>
      <c r="K26" s="5"/>
      <c r="L26" s="5"/>
      <c r="M26" s="5"/>
      <c r="N26" s="5"/>
      <c r="O26" s="5"/>
      <c r="P26" s="5"/>
      <c r="Q26" s="5"/>
      <c r="R26" s="5" t="s">
        <v>132</v>
      </c>
    </row>
    <row r="27" spans="1:18" x14ac:dyDescent="0.25">
      <c r="A27" s="5" t="str">
        <f>"EM"&amp;TEXT(Table9[[#This Row],[Count]],"000")&amp;"."&amp;IF(Table9[[#This Row],[Category]]="Essential","E",IF(Table9[[#This Row],[Category]]="Discretionary","D","O"))</f>
        <v>EM019.E</v>
      </c>
      <c r="B27" s="5">
        <f>MAX(Table8[Count])+ROWS(INDEX(Table9[Count],1):Table9[[#This Row],[Count]])</f>
        <v>19</v>
      </c>
      <c r="C27" s="5" t="s">
        <v>95</v>
      </c>
      <c r="D27" s="5" t="s">
        <v>360</v>
      </c>
      <c r="E27" s="5" t="s">
        <v>13</v>
      </c>
      <c r="F27" s="5"/>
      <c r="G27" s="5"/>
      <c r="H27" s="5"/>
      <c r="I27" s="5"/>
      <c r="J27" s="5"/>
      <c r="K27" s="5"/>
      <c r="L27" s="5"/>
      <c r="M27" s="5" t="s">
        <v>127</v>
      </c>
      <c r="N27" s="5" t="s">
        <v>127</v>
      </c>
      <c r="O27" s="5" t="s">
        <v>127</v>
      </c>
      <c r="P27" s="5" t="s">
        <v>127</v>
      </c>
      <c r="Q27" s="5"/>
      <c r="R27" s="5" t="s">
        <v>361</v>
      </c>
    </row>
    <row r="28" spans="1:18" ht="45" x14ac:dyDescent="0.25">
      <c r="A28" s="5" t="str">
        <f>"EM"&amp;TEXT(Table9[[#This Row],[Count]],"000")&amp;"."&amp;IF(Table9[[#This Row],[Category]]="Essential","E",IF(Table9[[#This Row],[Category]]="Discretionary","D","O"))</f>
        <v>EM020.E</v>
      </c>
      <c r="B28" s="5">
        <f>MAX(Table8[Count])+ROWS(INDEX(Table9[Count],1):Table9[[#This Row],[Count]])</f>
        <v>20</v>
      </c>
      <c r="C28" s="5" t="s">
        <v>95</v>
      </c>
      <c r="D28" s="5" t="s">
        <v>362</v>
      </c>
      <c r="E28" s="5" t="s">
        <v>13</v>
      </c>
      <c r="F28" s="5"/>
      <c r="G28" s="5"/>
      <c r="H28" s="5"/>
      <c r="I28" s="5"/>
      <c r="J28" s="5"/>
      <c r="K28" s="5"/>
      <c r="L28" s="5"/>
      <c r="M28" s="5" t="s">
        <v>127</v>
      </c>
      <c r="N28" s="5" t="s">
        <v>127</v>
      </c>
      <c r="O28" s="5" t="s">
        <v>127</v>
      </c>
      <c r="P28" s="5" t="s">
        <v>127</v>
      </c>
      <c r="Q28" s="5"/>
      <c r="R28" s="5" t="s">
        <v>363</v>
      </c>
    </row>
    <row r="29" spans="1:18" ht="61.5" customHeight="1" x14ac:dyDescent="0.25">
      <c r="A29" s="5" t="str">
        <f>"EM"&amp;TEXT(Table9[[#This Row],[Count]],"000")&amp;"."&amp;IF(Table9[[#This Row],[Category]]="Essential","E",IF(Table9[[#This Row],[Category]]="Discretionary","D","O"))</f>
        <v>EM021.E</v>
      </c>
      <c r="B29" s="5">
        <f>MAX(Table8[Count])+ROWS(INDEX(Table9[Count],1):Table9[[#This Row],[Count]])</f>
        <v>21</v>
      </c>
      <c r="C29" s="5" t="s">
        <v>95</v>
      </c>
      <c r="D29" s="5" t="s">
        <v>382</v>
      </c>
      <c r="E29" s="5" t="s">
        <v>13</v>
      </c>
      <c r="F29" s="5" t="s">
        <v>127</v>
      </c>
      <c r="G29" s="5"/>
      <c r="H29" s="5"/>
      <c r="I29" s="5"/>
      <c r="J29" s="5"/>
      <c r="K29" s="5"/>
      <c r="L29" s="5"/>
      <c r="M29" s="5"/>
      <c r="N29" s="5"/>
      <c r="O29" s="5"/>
      <c r="P29" s="5"/>
      <c r="Q29" s="5"/>
      <c r="R29" s="5" t="s">
        <v>383</v>
      </c>
    </row>
    <row r="30" spans="1:18" x14ac:dyDescent="0.25">
      <c r="A30" s="5" t="str">
        <f>"EM"&amp;TEXT(Table9[[#This Row],[Count]],"000")&amp;"."&amp;IF(Table9[[#This Row],[Category]]="Essential","E",IF(Table9[[#This Row],[Category]]="Discretionary","D","O"))</f>
        <v>EM022.E</v>
      </c>
      <c r="B30" s="5">
        <f>MAX(Table8[Count])+ROWS(INDEX(Table9[Count],1):Table9[[#This Row],[Count]])</f>
        <v>22</v>
      </c>
      <c r="C30" s="5" t="s">
        <v>95</v>
      </c>
      <c r="D30" s="5" t="s">
        <v>384</v>
      </c>
      <c r="E30" s="5" t="s">
        <v>13</v>
      </c>
      <c r="F30" s="5"/>
      <c r="G30" s="5"/>
      <c r="H30" s="5"/>
      <c r="I30" s="5"/>
      <c r="J30" s="5"/>
      <c r="K30" s="5"/>
      <c r="L30" s="5" t="s">
        <v>127</v>
      </c>
      <c r="M30" s="5" t="s">
        <v>127</v>
      </c>
      <c r="N30" s="5" t="s">
        <v>127</v>
      </c>
      <c r="O30" s="5" t="s">
        <v>127</v>
      </c>
      <c r="P30" s="5"/>
      <c r="Q30" s="5"/>
      <c r="R30" s="5" t="s">
        <v>385</v>
      </c>
    </row>
    <row r="31" spans="1:18" ht="30" x14ac:dyDescent="0.25">
      <c r="A31" s="5" t="str">
        <f>"EM"&amp;TEXT(Table9[[#This Row],[Count]],"000")&amp;"."&amp;IF(Table9[[#This Row],[Category]]="Essential","E",IF(Table9[[#This Row],[Category]]="Discretionary","D","O"))</f>
        <v>EM023.E</v>
      </c>
      <c r="B31" s="5">
        <f>MAX(Table8[Count])+ROWS(INDEX(Table9[Count],1):Table9[[#This Row],[Count]])</f>
        <v>23</v>
      </c>
      <c r="C31" s="5" t="s">
        <v>95</v>
      </c>
      <c r="D31" s="5" t="s">
        <v>386</v>
      </c>
      <c r="E31" s="5" t="s">
        <v>13</v>
      </c>
      <c r="F31" s="5" t="s">
        <v>127</v>
      </c>
      <c r="G31" s="5"/>
      <c r="H31" s="5"/>
      <c r="I31" s="5"/>
      <c r="J31" s="5"/>
      <c r="K31" s="5"/>
      <c r="L31" s="5"/>
      <c r="M31" s="5"/>
      <c r="N31" s="5"/>
      <c r="O31" s="5"/>
      <c r="P31" s="5"/>
      <c r="Q31" s="5"/>
      <c r="R31" s="5" t="s">
        <v>387</v>
      </c>
    </row>
    <row r="32" spans="1:18" x14ac:dyDescent="0.25">
      <c r="A32" s="5" t="str">
        <f>"EM"&amp;TEXT(Table9[[#This Row],[Count]],"000")&amp;"."&amp;IF(Table9[[#This Row],[Category]]="Essential","E",IF(Table9[[#This Row],[Category]]="Discretionary","D","O"))</f>
        <v>EM024.E</v>
      </c>
      <c r="B32" s="5">
        <f>MAX(Table8[Count])+ROWS(INDEX(Table9[Count],1):Table9[[#This Row],[Count]])</f>
        <v>24</v>
      </c>
      <c r="C32" s="5" t="s">
        <v>95</v>
      </c>
      <c r="D32" s="5" t="s">
        <v>388</v>
      </c>
      <c r="E32" s="5" t="s">
        <v>13</v>
      </c>
      <c r="F32" s="5"/>
      <c r="G32" s="5"/>
      <c r="H32" s="5"/>
      <c r="I32" s="5"/>
      <c r="J32" s="5"/>
      <c r="K32" s="5"/>
      <c r="L32" s="5" t="s">
        <v>127</v>
      </c>
      <c r="M32" s="5" t="s">
        <v>127</v>
      </c>
      <c r="N32" s="5"/>
      <c r="O32" s="5"/>
      <c r="P32" s="5"/>
      <c r="Q32" s="5"/>
      <c r="R32" s="5"/>
    </row>
    <row r="33" spans="1:18" ht="60" x14ac:dyDescent="0.25">
      <c r="A33" s="5" t="str">
        <f>"EM"&amp;TEXT(Table9[[#This Row],[Count]],"000")&amp;"."&amp;IF(Table9[[#This Row],[Category]]="Essential","E",IF(Table9[[#This Row],[Category]]="Discretionary","D","O"))</f>
        <v>EM025.E</v>
      </c>
      <c r="B33" s="5">
        <f>MAX(Table8[Count])+ROWS(INDEX(Table9[Count],1):Table9[[#This Row],[Count]])</f>
        <v>25</v>
      </c>
      <c r="C33" s="5" t="s">
        <v>95</v>
      </c>
      <c r="D33" s="5" t="s">
        <v>389</v>
      </c>
      <c r="E33" s="5" t="s">
        <v>13</v>
      </c>
      <c r="F33" s="5" t="s">
        <v>127</v>
      </c>
      <c r="G33" s="5"/>
      <c r="H33" s="5"/>
      <c r="I33" s="5"/>
      <c r="J33" s="5"/>
      <c r="K33" s="5"/>
      <c r="L33" s="5"/>
      <c r="M33" s="5"/>
      <c r="N33" s="5"/>
      <c r="O33" s="5"/>
      <c r="P33" s="5"/>
      <c r="Q33" s="5"/>
      <c r="R33" s="5"/>
    </row>
    <row r="34" spans="1:18" ht="45" x14ac:dyDescent="0.25">
      <c r="A34" s="5" t="str">
        <f>"EM"&amp;TEXT(Table9[[#This Row],[Count]],"000")&amp;"."&amp;IF(Table9[[#This Row],[Category]]="Essential","E",IF(Table9[[#This Row],[Category]]="Discretionary","D","O"))</f>
        <v>EM026.E</v>
      </c>
      <c r="B34" s="5">
        <f>MAX(Table8[Count])+ROWS(INDEX(Table9[Count],1):Table9[[#This Row],[Count]])</f>
        <v>26</v>
      </c>
      <c r="C34" s="5" t="s">
        <v>95</v>
      </c>
      <c r="D34" s="5" t="s">
        <v>390</v>
      </c>
      <c r="E34" s="5" t="s">
        <v>13</v>
      </c>
      <c r="F34" s="5" t="s">
        <v>127</v>
      </c>
      <c r="G34" s="5"/>
      <c r="H34" s="5"/>
      <c r="I34" s="5"/>
      <c r="J34" s="5"/>
      <c r="K34" s="5"/>
      <c r="L34" s="5"/>
      <c r="M34" s="5"/>
      <c r="N34" s="5"/>
      <c r="O34" s="5"/>
      <c r="P34" s="5"/>
      <c r="Q34" s="5"/>
      <c r="R34" s="5" t="s">
        <v>391</v>
      </c>
    </row>
    <row r="35" spans="1:18" ht="45" x14ac:dyDescent="0.25">
      <c r="A35" s="5" t="str">
        <f>"EM"&amp;TEXT(Table9[[#This Row],[Count]],"000")&amp;"."&amp;IF(Table9[[#This Row],[Category]]="Essential","E",IF(Table9[[#This Row],[Category]]="Discretionary","D","O"))</f>
        <v>EM027.E</v>
      </c>
      <c r="B35" s="5">
        <f>MAX(Table8[Count])+ROWS(INDEX(Table9[Count],1):Table9[[#This Row],[Count]])</f>
        <v>27</v>
      </c>
      <c r="C35" s="5" t="s">
        <v>95</v>
      </c>
      <c r="D35" s="5" t="s">
        <v>392</v>
      </c>
      <c r="E35" s="5" t="s">
        <v>13</v>
      </c>
      <c r="F35" s="5" t="s">
        <v>127</v>
      </c>
      <c r="G35" s="5"/>
      <c r="H35" s="5"/>
      <c r="I35" s="5"/>
      <c r="J35" s="5"/>
      <c r="K35" s="5"/>
      <c r="L35" s="5"/>
      <c r="M35" s="5"/>
      <c r="N35" s="5"/>
      <c r="O35" s="5"/>
      <c r="P35" s="5"/>
      <c r="Q35" s="5"/>
      <c r="R35" s="5" t="s">
        <v>367</v>
      </c>
    </row>
    <row r="36" spans="1:18" ht="30" x14ac:dyDescent="0.25">
      <c r="A36" s="5" t="str">
        <f>"EM"&amp;TEXT(Table9[[#This Row],[Count]],"000")&amp;"."&amp;IF(Table9[[#This Row],[Category]]="Essential","E",IF(Table9[[#This Row],[Category]]="Discretionary","D","O"))</f>
        <v>EM028.E</v>
      </c>
      <c r="B36" s="5">
        <f>MAX(Table8[Count])+ROWS(INDEX(Table9[Count],1):Table9[[#This Row],[Count]])</f>
        <v>28</v>
      </c>
      <c r="C36" s="5" t="s">
        <v>95</v>
      </c>
      <c r="D36" s="5" t="s">
        <v>368</v>
      </c>
      <c r="E36" s="5" t="s">
        <v>13</v>
      </c>
      <c r="F36" s="5" t="s">
        <v>127</v>
      </c>
      <c r="G36" s="5"/>
      <c r="H36" s="5"/>
      <c r="I36" s="5"/>
      <c r="J36" s="5"/>
      <c r="K36" s="5"/>
      <c r="L36" s="5"/>
      <c r="M36" s="5"/>
      <c r="N36" s="5"/>
      <c r="O36" s="5"/>
      <c r="P36" s="5"/>
      <c r="Q36" s="5"/>
      <c r="R36" s="5" t="s">
        <v>393</v>
      </c>
    </row>
    <row r="37" spans="1:18" ht="30" x14ac:dyDescent="0.25">
      <c r="A37" s="5" t="str">
        <f>"EM"&amp;TEXT(Table9[[#This Row],[Count]],"000")&amp;"."&amp;IF(Table9[[#This Row],[Category]]="Essential","E",IF(Table9[[#This Row],[Category]]="Discretionary","D","O"))</f>
        <v>EM029.E</v>
      </c>
      <c r="B37" s="5">
        <f>MAX(Table8[Count])+ROWS(INDEX(Table9[Count],1):Table9[[#This Row],[Count]])</f>
        <v>29</v>
      </c>
      <c r="C37" s="5" t="s">
        <v>95</v>
      </c>
      <c r="D37" s="5" t="s">
        <v>364</v>
      </c>
      <c r="E37" s="5" t="s">
        <v>13</v>
      </c>
      <c r="F37" s="5" t="s">
        <v>127</v>
      </c>
      <c r="G37" s="5"/>
      <c r="H37" s="5"/>
      <c r="I37" s="5"/>
      <c r="J37" s="5"/>
      <c r="K37" s="5"/>
      <c r="L37" s="5"/>
      <c r="M37" s="5"/>
      <c r="N37" s="5"/>
      <c r="O37" s="5"/>
      <c r="P37" s="5"/>
      <c r="Q37" s="5"/>
      <c r="R37" s="5"/>
    </row>
    <row r="38" spans="1:18" ht="30" x14ac:dyDescent="0.25">
      <c r="A38" s="5" t="str">
        <f>"EM"&amp;TEXT(Table9[[#This Row],[Count]],"000")&amp;"."&amp;IF(Table9[[#This Row],[Category]]="Essential","E",IF(Table9[[#This Row],[Category]]="Discretionary","D","O"))</f>
        <v>EM030.E</v>
      </c>
      <c r="B38" s="5">
        <f>MAX(Table8[Count])+ROWS(INDEX(Table9[Count],1):Table9[[#This Row],[Count]])</f>
        <v>30</v>
      </c>
      <c r="C38" s="5" t="s">
        <v>95</v>
      </c>
      <c r="D38" s="5" t="s">
        <v>371</v>
      </c>
      <c r="E38" s="5" t="s">
        <v>13</v>
      </c>
      <c r="F38" s="5" t="s">
        <v>127</v>
      </c>
      <c r="G38" s="5"/>
      <c r="H38" s="5"/>
      <c r="I38" s="5"/>
      <c r="J38" s="5"/>
      <c r="K38" s="5"/>
      <c r="L38" s="5"/>
      <c r="M38" s="5"/>
      <c r="N38" s="5"/>
      <c r="O38" s="5"/>
      <c r="P38" s="5"/>
      <c r="Q38" s="5"/>
      <c r="R38" s="5"/>
    </row>
    <row r="39" spans="1:18" ht="30" x14ac:dyDescent="0.25">
      <c r="A39" s="5" t="str">
        <f>"EM"&amp;TEXT(Table9[[#This Row],[Count]],"000")&amp;"."&amp;IF(Table9[[#This Row],[Category]]="Essential","E",IF(Table9[[#This Row],[Category]]="Discretionary","D","O"))</f>
        <v>EM031.E</v>
      </c>
      <c r="B39" s="5">
        <f>MAX(Table8[Count])+ROWS(INDEX(Table9[Count],1):Table9[[#This Row],[Count]])</f>
        <v>31</v>
      </c>
      <c r="C39" s="5" t="s">
        <v>95</v>
      </c>
      <c r="D39" s="5" t="s">
        <v>394</v>
      </c>
      <c r="E39" s="5" t="s">
        <v>13</v>
      </c>
      <c r="F39" s="5" t="s">
        <v>127</v>
      </c>
      <c r="G39" s="5"/>
      <c r="H39" s="5"/>
      <c r="I39" s="5"/>
      <c r="J39" s="5"/>
      <c r="K39" s="5"/>
      <c r="L39" s="5"/>
      <c r="M39" s="5"/>
      <c r="N39" s="5"/>
      <c r="O39" s="5"/>
      <c r="P39" s="5"/>
      <c r="Q39" s="5"/>
      <c r="R39" s="5" t="s">
        <v>395</v>
      </c>
    </row>
    <row r="40" spans="1:18" ht="45" x14ac:dyDescent="0.25">
      <c r="A40" s="5" t="str">
        <f>"EM"&amp;TEXT(Table9[[#This Row],[Count]],"000")&amp;"."&amp;IF(Table9[[#This Row],[Category]]="Essential","E",IF(Table9[[#This Row],[Category]]="Discretionary","D","O"))</f>
        <v>EM032.E</v>
      </c>
      <c r="B40" s="5">
        <f>MAX(Table8[Count])+ROWS(INDEX(Table9[Count],1):Table9[[#This Row],[Count]])</f>
        <v>32</v>
      </c>
      <c r="C40" s="5" t="s">
        <v>95</v>
      </c>
      <c r="D40" s="5" t="s">
        <v>372</v>
      </c>
      <c r="E40" s="5" t="s">
        <v>13</v>
      </c>
      <c r="F40" s="5" t="s">
        <v>127</v>
      </c>
      <c r="G40" s="5"/>
      <c r="H40" s="5"/>
      <c r="I40" s="5"/>
      <c r="J40" s="5"/>
      <c r="K40" s="5"/>
      <c r="L40" s="5"/>
      <c r="M40" s="5"/>
      <c r="N40" s="5"/>
      <c r="O40" s="5"/>
      <c r="P40" s="5"/>
      <c r="Q40" s="5"/>
      <c r="R40" s="5"/>
    </row>
    <row r="41" spans="1:18" ht="75" x14ac:dyDescent="0.25">
      <c r="A41" s="5" t="str">
        <f>"EM"&amp;TEXT(Table9[[#This Row],[Count]],"000")&amp;"."&amp;IF(Table9[[#This Row],[Category]]="Essential","E",IF(Table9[[#This Row],[Category]]="Discretionary","D","O"))</f>
        <v>EM033.E</v>
      </c>
      <c r="B41" s="5">
        <f>MAX(Table8[Count])+ROWS(INDEX(Table9[Count],1):Table9[[#This Row],[Count]])</f>
        <v>33</v>
      </c>
      <c r="C41" s="5" t="s">
        <v>95</v>
      </c>
      <c r="D41" s="5" t="s">
        <v>396</v>
      </c>
      <c r="E41" s="5" t="s">
        <v>13</v>
      </c>
      <c r="F41" s="5"/>
      <c r="G41" s="5"/>
      <c r="H41" s="5"/>
      <c r="I41" s="5"/>
      <c r="J41" s="5"/>
      <c r="K41" s="5"/>
      <c r="L41" s="5"/>
      <c r="M41" s="5" t="s">
        <v>127</v>
      </c>
      <c r="N41" s="5" t="s">
        <v>127</v>
      </c>
      <c r="O41" s="5" t="s">
        <v>127</v>
      </c>
      <c r="P41" s="5"/>
      <c r="Q41" s="5"/>
      <c r="R41" s="5" t="s">
        <v>397</v>
      </c>
    </row>
    <row r="42" spans="1:18" x14ac:dyDescent="0.25">
      <c r="A42" s="5" t="str">
        <f>"EM"&amp;TEXT(Table9[[#This Row],[Count]],"000")&amp;"."&amp;IF(Table9[[#This Row],[Category]]="Essential","E",IF(Table9[[#This Row],[Category]]="Discretionary","D","O"))</f>
        <v>EM034.E</v>
      </c>
      <c r="B42" s="5">
        <f>MAX(Table8[Count])+ROWS(INDEX(Table9[Count],1):Table9[[#This Row],[Count]])</f>
        <v>34</v>
      </c>
      <c r="C42" s="5" t="s">
        <v>95</v>
      </c>
      <c r="D42" s="5" t="s">
        <v>398</v>
      </c>
      <c r="E42" s="5" t="s">
        <v>13</v>
      </c>
      <c r="F42" s="5" t="s">
        <v>127</v>
      </c>
      <c r="G42" s="5"/>
      <c r="H42" s="5"/>
      <c r="I42" s="5"/>
      <c r="J42" s="5"/>
      <c r="K42" s="5"/>
      <c r="L42" s="5"/>
      <c r="M42" s="5"/>
      <c r="N42" s="5"/>
      <c r="O42" s="5"/>
      <c r="P42" s="5"/>
      <c r="Q42" s="5"/>
      <c r="R42" s="5"/>
    </row>
    <row r="43" spans="1:18" ht="30" x14ac:dyDescent="0.25">
      <c r="A43" s="5" t="str">
        <f>"EM"&amp;TEXT(Table9[[#This Row],[Count]],"000")&amp;"."&amp;IF(Table9[[#This Row],[Category]]="Essential","E",IF(Table9[[#This Row],[Category]]="Discretionary","D","O"))</f>
        <v>EM035.E</v>
      </c>
      <c r="B43" s="5">
        <f>MAX(Table8[Count])+ROWS(INDEX(Table9[Count],1):Table9[[#This Row],[Count]])</f>
        <v>35</v>
      </c>
      <c r="C43" s="5" t="s">
        <v>95</v>
      </c>
      <c r="D43" s="5" t="s">
        <v>399</v>
      </c>
      <c r="E43" s="5" t="s">
        <v>13</v>
      </c>
      <c r="F43" s="5" t="s">
        <v>127</v>
      </c>
      <c r="G43" s="5"/>
      <c r="H43" s="5"/>
      <c r="I43" s="5"/>
      <c r="J43" s="5"/>
      <c r="K43" s="5"/>
      <c r="L43" s="5"/>
      <c r="M43" s="5"/>
      <c r="N43" s="5"/>
      <c r="O43" s="5"/>
      <c r="P43" s="5"/>
      <c r="Q43" s="5"/>
      <c r="R43" s="5"/>
    </row>
    <row r="44" spans="1:18" ht="30" x14ac:dyDescent="0.25">
      <c r="A44" s="5" t="str">
        <f>"EM"&amp;TEXT(Table9[[#This Row],[Count]],"000")&amp;"."&amp;IF(Table9[[#This Row],[Category]]="Essential","E",IF(Table9[[#This Row],[Category]]="Discretionary","D","O"))</f>
        <v>EM036.E</v>
      </c>
      <c r="B44" s="5">
        <f>MAX(Table8[Count])+ROWS(INDEX(Table9[Count],1):Table9[[#This Row],[Count]])</f>
        <v>36</v>
      </c>
      <c r="C44" s="5" t="s">
        <v>95</v>
      </c>
      <c r="D44" s="5" t="s">
        <v>400</v>
      </c>
      <c r="E44" s="5" t="s">
        <v>13</v>
      </c>
      <c r="F44" s="5"/>
      <c r="G44" s="5"/>
      <c r="H44" s="5"/>
      <c r="I44" s="5"/>
      <c r="J44" s="5"/>
      <c r="K44" s="5"/>
      <c r="L44" s="5"/>
      <c r="M44" s="5" t="s">
        <v>127</v>
      </c>
      <c r="N44" s="5" t="s">
        <v>127</v>
      </c>
      <c r="O44" s="5" t="s">
        <v>127</v>
      </c>
      <c r="P44" s="5"/>
      <c r="Q44" s="5"/>
      <c r="R44" s="5" t="s">
        <v>401</v>
      </c>
    </row>
    <row r="45" spans="1:18" ht="66.75" customHeight="1" x14ac:dyDescent="0.25">
      <c r="A45" s="5" t="str">
        <f>"EM"&amp;TEXT(Table9[[#This Row],[Count]],"000")&amp;"."&amp;IF(Table9[[#This Row],[Category]]="Essential","E",IF(Table9[[#This Row],[Category]]="Discretionary","D","O"))</f>
        <v>EM037.E</v>
      </c>
      <c r="B45" s="5">
        <f>MAX(Table8[Count])+ROWS(INDEX(Table9[Count],1):Table9[[#This Row],[Count]])</f>
        <v>37</v>
      </c>
      <c r="C45" s="5" t="s">
        <v>95</v>
      </c>
      <c r="D45" s="5" t="s">
        <v>402</v>
      </c>
      <c r="E45" s="5" t="s">
        <v>13</v>
      </c>
      <c r="F45" s="5" t="s">
        <v>127</v>
      </c>
      <c r="G45" s="5"/>
      <c r="H45" s="5"/>
      <c r="I45" s="5"/>
      <c r="J45" s="5"/>
      <c r="K45" s="5"/>
      <c r="L45" s="5"/>
      <c r="M45" s="5"/>
      <c r="N45" s="5"/>
      <c r="O45" s="5"/>
      <c r="P45" s="5"/>
      <c r="Q45" s="5"/>
      <c r="R45" s="5" t="s">
        <v>383</v>
      </c>
    </row>
    <row r="46" spans="1:18" ht="45" x14ac:dyDescent="0.25">
      <c r="A46" s="5" t="str">
        <f>"EM"&amp;TEXT(Table9[[#This Row],[Count]],"000")&amp;"."&amp;IF(Table9[[#This Row],[Category]]="Essential","E",IF(Table9[[#This Row],[Category]]="Discretionary","D","O"))</f>
        <v>EM038.E</v>
      </c>
      <c r="B46" s="5">
        <f>MAX(Table8[Count])+ROWS(INDEX(Table9[Count],1):Table9[[#This Row],[Count]])</f>
        <v>38</v>
      </c>
      <c r="C46" s="5" t="s">
        <v>95</v>
      </c>
      <c r="D46" s="5" t="s">
        <v>403</v>
      </c>
      <c r="E46" s="5" t="s">
        <v>13</v>
      </c>
      <c r="F46" s="5"/>
      <c r="G46" s="5"/>
      <c r="H46" s="5"/>
      <c r="I46" s="5"/>
      <c r="J46" s="5"/>
      <c r="K46" s="5"/>
      <c r="L46" s="5"/>
      <c r="M46" s="5" t="s">
        <v>127</v>
      </c>
      <c r="N46" s="5" t="s">
        <v>127</v>
      </c>
      <c r="O46" s="5" t="s">
        <v>127</v>
      </c>
      <c r="P46" s="5"/>
      <c r="Q46" s="5"/>
      <c r="R46" s="5"/>
    </row>
    <row r="47" spans="1:18" ht="45" x14ac:dyDescent="0.25">
      <c r="A47" s="5" t="str">
        <f>"EM"&amp;TEXT(Table9[[#This Row],[Count]],"000")&amp;"."&amp;IF(Table9[[#This Row],[Category]]="Essential","E",IF(Table9[[#This Row],[Category]]="Discretionary","D","O"))</f>
        <v>EM039.E</v>
      </c>
      <c r="B47" s="5">
        <f>MAX(Table8[Count])+ROWS(INDEX(Table9[Count],1):Table9[[#This Row],[Count]])</f>
        <v>39</v>
      </c>
      <c r="C47" s="5" t="s">
        <v>95</v>
      </c>
      <c r="D47" s="5" t="s">
        <v>404</v>
      </c>
      <c r="E47" s="5" t="s">
        <v>13</v>
      </c>
      <c r="F47" s="5"/>
      <c r="G47" s="5"/>
      <c r="H47" s="5"/>
      <c r="I47" s="5"/>
      <c r="J47" s="5"/>
      <c r="K47" s="5"/>
      <c r="L47" s="5"/>
      <c r="M47" s="5" t="s">
        <v>127</v>
      </c>
      <c r="N47" s="5" t="s">
        <v>127</v>
      </c>
      <c r="O47" s="5" t="s">
        <v>127</v>
      </c>
      <c r="P47" s="5"/>
      <c r="Q47" s="5"/>
      <c r="R47" s="5" t="s">
        <v>405</v>
      </c>
    </row>
    <row r="48" spans="1:18" ht="30" x14ac:dyDescent="0.25">
      <c r="A48" s="5" t="str">
        <f>"EM"&amp;TEXT(Table9[[#This Row],[Count]],"000")&amp;"."&amp;IF(Table9[[#This Row],[Category]]="Essential","E",IF(Table9[[#This Row],[Category]]="Discretionary","D","O"))</f>
        <v>EM040.E</v>
      </c>
      <c r="B48" s="5">
        <f>MAX(Table8[Count])+ROWS(INDEX(Table9[Count],1):Table9[[#This Row],[Count]])</f>
        <v>40</v>
      </c>
      <c r="C48" s="5" t="s">
        <v>95</v>
      </c>
      <c r="D48" s="5" t="s">
        <v>406</v>
      </c>
      <c r="E48" s="5" t="s">
        <v>13</v>
      </c>
      <c r="F48" s="5" t="s">
        <v>127</v>
      </c>
      <c r="G48" s="5"/>
      <c r="H48" s="5"/>
      <c r="I48" s="5"/>
      <c r="J48" s="5"/>
      <c r="K48" s="5"/>
      <c r="L48" s="5"/>
      <c r="M48" s="5"/>
      <c r="N48" s="5"/>
      <c r="O48" s="5"/>
      <c r="P48" s="5"/>
      <c r="Q48" s="5"/>
      <c r="R48" s="5"/>
    </row>
    <row r="49" spans="1:18" ht="30" x14ac:dyDescent="0.25">
      <c r="A49" s="5" t="str">
        <f>"EM"&amp;TEXT(Table9[[#This Row],[Count]],"000")&amp;"."&amp;IF(Table9[[#This Row],[Category]]="Essential","E",IF(Table9[[#This Row],[Category]]="Discretionary","D","O"))</f>
        <v>EM041.E</v>
      </c>
      <c r="B49" s="5">
        <f>MAX(Table8[Count])+ROWS(INDEX(Table9[Count],1):Table9[[#This Row],[Count]])</f>
        <v>41</v>
      </c>
      <c r="C49" s="5" t="s">
        <v>95</v>
      </c>
      <c r="D49" s="5" t="s">
        <v>407</v>
      </c>
      <c r="E49" s="5" t="s">
        <v>13</v>
      </c>
      <c r="F49" s="5"/>
      <c r="G49" s="5"/>
      <c r="H49" s="5"/>
      <c r="I49" s="5"/>
      <c r="J49" s="5"/>
      <c r="K49" s="5"/>
      <c r="L49" s="5"/>
      <c r="M49" s="5" t="s">
        <v>127</v>
      </c>
      <c r="N49" s="5" t="s">
        <v>127</v>
      </c>
      <c r="O49" s="5" t="s">
        <v>127</v>
      </c>
      <c r="P49" s="5"/>
      <c r="Q49" s="5"/>
      <c r="R49" s="5" t="s">
        <v>405</v>
      </c>
    </row>
    <row r="50" spans="1:18" x14ac:dyDescent="0.25">
      <c r="A50" s="5" t="str">
        <f>"EM"&amp;TEXT(Table9[[#This Row],[Count]],"000")&amp;"."&amp;IF(Table9[[#This Row],[Category]]="Essential","E",IF(Table9[[#This Row],[Category]]="Discretionary","D","O"))</f>
        <v>EM042.E</v>
      </c>
      <c r="B50" s="5">
        <f>MAX(Table8[Count])+ROWS(INDEX(Table9[Count],1):Table9[[#This Row],[Count]])</f>
        <v>42</v>
      </c>
      <c r="C50" s="5" t="s">
        <v>95</v>
      </c>
      <c r="D50" s="5" t="s">
        <v>408</v>
      </c>
      <c r="E50" s="5" t="s">
        <v>13</v>
      </c>
      <c r="F50" s="5" t="s">
        <v>127</v>
      </c>
      <c r="G50" s="5"/>
      <c r="H50" s="5"/>
      <c r="I50" s="5"/>
      <c r="J50" s="5"/>
      <c r="K50" s="5"/>
      <c r="L50" s="5"/>
      <c r="M50" s="5"/>
      <c r="N50" s="5"/>
      <c r="O50" s="5"/>
      <c r="P50" s="5"/>
      <c r="Q50" s="5"/>
      <c r="R50" s="5"/>
    </row>
    <row r="51" spans="1:18" ht="45" x14ac:dyDescent="0.25">
      <c r="A51" s="5" t="str">
        <f>"EM"&amp;TEXT(Table9[[#This Row],[Count]],"000")&amp;"."&amp;IF(Table9[[#This Row],[Category]]="Essential","E",IF(Table9[[#This Row],[Category]]="Discretionary","D","O"))</f>
        <v>EM043.E</v>
      </c>
      <c r="B51" s="5">
        <f>MAX(Table8[Count])+ROWS(INDEX(Table9[Count],1):Table9[[#This Row],[Count]])</f>
        <v>43</v>
      </c>
      <c r="C51" s="5" t="s">
        <v>95</v>
      </c>
      <c r="D51" s="5" t="s">
        <v>375</v>
      </c>
      <c r="E51" s="5" t="s">
        <v>13</v>
      </c>
      <c r="F51" s="5" t="s">
        <v>127</v>
      </c>
      <c r="G51" s="5"/>
      <c r="H51" s="5"/>
      <c r="I51" s="5"/>
      <c r="J51" s="5"/>
      <c r="K51" s="5"/>
      <c r="L51" s="5"/>
      <c r="M51" s="5"/>
      <c r="N51" s="5"/>
      <c r="O51" s="5"/>
      <c r="P51" s="5"/>
      <c r="Q51" s="5"/>
      <c r="R51" s="5" t="s">
        <v>409</v>
      </c>
    </row>
    <row r="52" spans="1:18" ht="30" x14ac:dyDescent="0.25">
      <c r="A52" s="5" t="str">
        <f>"EM"&amp;TEXT(Table9[[#This Row],[Count]],"000")&amp;"."&amp;IF(Table9[[#This Row],[Category]]="Essential","E",IF(Table9[[#This Row],[Category]]="Discretionary","D","O"))</f>
        <v>EM044.E</v>
      </c>
      <c r="B52" s="5">
        <f>MAX(Table8[Count])+ROWS(INDEX(Table9[Count],1):Table9[[#This Row],[Count]])</f>
        <v>44</v>
      </c>
      <c r="C52" s="5" t="s">
        <v>95</v>
      </c>
      <c r="D52" s="5" t="s">
        <v>410</v>
      </c>
      <c r="E52" s="5" t="s">
        <v>13</v>
      </c>
      <c r="F52" s="5" t="s">
        <v>127</v>
      </c>
      <c r="G52" s="5"/>
      <c r="H52" s="5"/>
      <c r="I52" s="5"/>
      <c r="J52" s="5"/>
      <c r="K52" s="5"/>
      <c r="L52" s="5"/>
      <c r="M52" s="5"/>
      <c r="N52" s="5"/>
      <c r="O52" s="5"/>
      <c r="P52" s="5"/>
      <c r="Q52" s="5"/>
      <c r="R52" s="5" t="s">
        <v>411</v>
      </c>
    </row>
    <row r="53" spans="1:18" ht="75" x14ac:dyDescent="0.25">
      <c r="A53" s="5" t="str">
        <f>"EM"&amp;TEXT(Table9[[#This Row],[Count]],"000")&amp;"."&amp;IF(Table9[[#This Row],[Category]]="Essential","E",IF(Table9[[#This Row],[Category]]="Discretionary","D","O"))</f>
        <v>EM045.E</v>
      </c>
      <c r="B53" s="5">
        <f>MAX(Table8[Count])+ROWS(INDEX(Table9[Count],1):Table9[[#This Row],[Count]])</f>
        <v>45</v>
      </c>
      <c r="C53" s="5" t="s">
        <v>95</v>
      </c>
      <c r="D53" s="5" t="s">
        <v>412</v>
      </c>
      <c r="E53" s="5" t="s">
        <v>13</v>
      </c>
      <c r="F53" s="5" t="s">
        <v>127</v>
      </c>
      <c r="G53" s="5"/>
      <c r="H53" s="5"/>
      <c r="I53" s="5"/>
      <c r="J53" s="5"/>
      <c r="K53" s="5"/>
      <c r="L53" s="5"/>
      <c r="M53" s="5"/>
      <c r="N53" s="5"/>
      <c r="O53" s="5"/>
      <c r="P53" s="5"/>
      <c r="Q53" s="5"/>
      <c r="R53" s="5" t="s">
        <v>359</v>
      </c>
    </row>
    <row r="54" spans="1:18" ht="65.25" customHeight="1" x14ac:dyDescent="0.25">
      <c r="A54" s="5" t="str">
        <f>"EM"&amp;TEXT(Table9[[#This Row],[Count]],"000")&amp;"."&amp;IF(Table9[[#This Row],[Category]]="Essential","E",IF(Table9[[#This Row],[Category]]="Discretionary","D","O"))</f>
        <v>EM046.E</v>
      </c>
      <c r="B54" s="5">
        <f>MAX(Table8[Count])+ROWS(INDEX(Table9[Count],1):Table9[[#This Row],[Count]])</f>
        <v>46</v>
      </c>
      <c r="C54" s="5" t="s">
        <v>95</v>
      </c>
      <c r="D54" s="5" t="s">
        <v>413</v>
      </c>
      <c r="E54" s="5" t="s">
        <v>13</v>
      </c>
      <c r="F54" s="5" t="s">
        <v>127</v>
      </c>
      <c r="G54" s="5"/>
      <c r="H54" s="5"/>
      <c r="I54" s="5"/>
      <c r="J54" s="5"/>
      <c r="K54" s="5"/>
      <c r="L54" s="5"/>
      <c r="M54" s="5"/>
      <c r="N54" s="5"/>
      <c r="O54" s="5"/>
      <c r="P54" s="5"/>
      <c r="Q54" s="5"/>
      <c r="R54" s="5" t="s">
        <v>383</v>
      </c>
    </row>
    <row r="55" spans="1:18" ht="30" x14ac:dyDescent="0.25">
      <c r="A55" s="5" t="str">
        <f>"EM"&amp;TEXT(Table9[[#This Row],[Count]],"000")&amp;"."&amp;IF(Table9[[#This Row],[Category]]="Essential","E",IF(Table9[[#This Row],[Category]]="Discretionary","D","O"))</f>
        <v>EM047.E</v>
      </c>
      <c r="B55" s="5">
        <f>MAX(Table8[Count])+ROWS(INDEX(Table9[Count],1):Table9[[#This Row],[Count]])</f>
        <v>47</v>
      </c>
      <c r="C55" s="5" t="s">
        <v>95</v>
      </c>
      <c r="D55" s="5" t="s">
        <v>414</v>
      </c>
      <c r="E55" s="5" t="s">
        <v>13</v>
      </c>
      <c r="F55" s="5" t="s">
        <v>127</v>
      </c>
      <c r="G55" s="5"/>
      <c r="H55" s="5"/>
      <c r="I55" s="5"/>
      <c r="J55" s="5"/>
      <c r="K55" s="5"/>
      <c r="L55" s="5"/>
      <c r="M55" s="5"/>
      <c r="N55" s="5"/>
      <c r="O55" s="5"/>
      <c r="P55" s="5"/>
      <c r="Q55" s="5"/>
      <c r="R55" s="5"/>
    </row>
    <row r="56" spans="1:18" ht="30" x14ac:dyDescent="0.25">
      <c r="A56" s="5" t="str">
        <f>"EM"&amp;TEXT(Table9[[#This Row],[Count]],"000")&amp;"."&amp;IF(Table9[[#This Row],[Category]]="Essential","E",IF(Table9[[#This Row],[Category]]="Discretionary","D","O"))</f>
        <v>EM048.O</v>
      </c>
      <c r="B56" s="5">
        <f>MAX(Table8[Count])+ROWS(INDEX(Table9[Count],1):Table9[[#This Row],[Count]])</f>
        <v>48</v>
      </c>
      <c r="C56" s="5" t="s">
        <v>95</v>
      </c>
      <c r="D56" s="5" t="s">
        <v>380</v>
      </c>
      <c r="E56" s="5" t="s">
        <v>23</v>
      </c>
      <c r="F56" s="5" t="s">
        <v>127</v>
      </c>
      <c r="G56" s="5"/>
      <c r="H56" s="5"/>
      <c r="I56" s="5"/>
      <c r="J56" s="5"/>
      <c r="K56" s="5"/>
      <c r="L56" s="5"/>
      <c r="M56" s="5"/>
      <c r="N56" s="5"/>
      <c r="O56" s="5"/>
      <c r="P56" s="5"/>
      <c r="Q56" s="5"/>
      <c r="R56" s="5" t="s">
        <v>149</v>
      </c>
    </row>
    <row r="57" spans="1:18" ht="30" x14ac:dyDescent="0.25">
      <c r="A57" s="5" t="str">
        <f>"EM"&amp;TEXT(Table9[[#This Row],[Count]],"000")&amp;"."&amp;IF(Table9[[#This Row],[Category]]="Essential","E",IF(Table9[[#This Row],[Category]]="Discretionary","D","O"))</f>
        <v>EM049.E</v>
      </c>
      <c r="B57" s="5">
        <f>MAX(Table8[Count])+ROWS(INDEX(Table9[Count],1):Table9[[#This Row],[Count]])</f>
        <v>49</v>
      </c>
      <c r="C57" s="5" t="s">
        <v>95</v>
      </c>
      <c r="D57" s="5" t="s">
        <v>415</v>
      </c>
      <c r="E57" s="5" t="s">
        <v>13</v>
      </c>
      <c r="F57" s="5"/>
      <c r="G57" s="5"/>
      <c r="H57" s="5"/>
      <c r="I57" s="5"/>
      <c r="J57" s="5"/>
      <c r="K57" s="5"/>
      <c r="L57" s="5"/>
      <c r="M57" s="5" t="s">
        <v>127</v>
      </c>
      <c r="N57" s="5" t="s">
        <v>127</v>
      </c>
      <c r="O57" s="5" t="s">
        <v>127</v>
      </c>
      <c r="P57" s="5"/>
      <c r="Q57" s="5"/>
      <c r="R57" s="5" t="s">
        <v>416</v>
      </c>
    </row>
    <row r="58" spans="1:18" x14ac:dyDescent="0.25">
      <c r="A58" s="58" t="s">
        <v>66</v>
      </c>
      <c r="B58" s="58"/>
      <c r="C58" s="58"/>
      <c r="D58" s="58"/>
      <c r="E58" s="58"/>
      <c r="F58" s="58"/>
      <c r="G58" s="58"/>
      <c r="H58" s="58"/>
      <c r="I58" s="58"/>
      <c r="J58" s="58"/>
      <c r="K58" s="58"/>
      <c r="L58" s="58"/>
      <c r="M58" s="58"/>
      <c r="N58" s="58"/>
      <c r="O58" s="58"/>
      <c r="P58" s="58"/>
      <c r="Q58" s="58"/>
      <c r="R58" s="58"/>
    </row>
    <row r="60" spans="1:18" x14ac:dyDescent="0.25">
      <c r="A60" s="6" t="s">
        <v>120</v>
      </c>
      <c r="B60" s="6" t="s">
        <v>121</v>
      </c>
      <c r="C60" s="7" t="s">
        <v>122</v>
      </c>
      <c r="D60" s="7" t="s">
        <v>123</v>
      </c>
      <c r="E60" s="6" t="s">
        <v>8</v>
      </c>
      <c r="F60" s="6" t="s">
        <v>124</v>
      </c>
      <c r="G60" s="6" t="s">
        <v>154</v>
      </c>
      <c r="H60" s="6" t="s">
        <v>155</v>
      </c>
      <c r="I60" s="6" t="s">
        <v>156</v>
      </c>
      <c r="J60" s="6" t="s">
        <v>157</v>
      </c>
      <c r="K60" s="6" t="s">
        <v>158</v>
      </c>
      <c r="L60" s="6" t="s">
        <v>159</v>
      </c>
      <c r="M60" s="6" t="s">
        <v>160</v>
      </c>
      <c r="N60" s="6" t="s">
        <v>161</v>
      </c>
      <c r="O60" s="6" t="s">
        <v>162</v>
      </c>
      <c r="P60" s="6" t="s">
        <v>163</v>
      </c>
      <c r="Q60" s="6" t="s">
        <v>164</v>
      </c>
      <c r="R60" s="6" t="s">
        <v>125</v>
      </c>
    </row>
    <row r="61" spans="1:18" ht="30" x14ac:dyDescent="0.25">
      <c r="A61" s="5" t="str">
        <f>"EM"&amp;TEXT(Table10[[#This Row],[Count]],"000")&amp;"."&amp;IF(Table10[[#This Row],[Category]]="Essential","E",IF(Table10[[#This Row],[Category]]="Discretionary","D","O"))</f>
        <v>EM050.E</v>
      </c>
      <c r="B61" s="5">
        <f>MAX(Table9[Count])+ROWS(INDEX(Table10[Count],1):Table10[[#This Row],[Count]])</f>
        <v>50</v>
      </c>
      <c r="C61" s="5" t="s">
        <v>66</v>
      </c>
      <c r="D61" s="5" t="s">
        <v>417</v>
      </c>
      <c r="E61" s="5" t="s">
        <v>13</v>
      </c>
      <c r="F61" s="5"/>
      <c r="G61" s="5"/>
      <c r="H61" s="5"/>
      <c r="I61" s="5"/>
      <c r="J61" s="5"/>
      <c r="K61" s="5"/>
      <c r="L61" s="5"/>
      <c r="M61" s="5" t="s">
        <v>127</v>
      </c>
      <c r="N61" s="5" t="s">
        <v>127</v>
      </c>
      <c r="O61" s="5" t="s">
        <v>127</v>
      </c>
      <c r="P61" s="5" t="s">
        <v>127</v>
      </c>
      <c r="Q61" s="5"/>
      <c r="R61" s="5"/>
    </row>
    <row r="62" spans="1:18" ht="45" x14ac:dyDescent="0.25">
      <c r="A62" s="5" t="str">
        <f>"EM"&amp;TEXT(Table10[[#This Row],[Count]],"000")&amp;"."&amp;IF(Table10[[#This Row],[Category]]="Essential","E",IF(Table10[[#This Row],[Category]]="Discretionary","D","O"))</f>
        <v>EM051.E</v>
      </c>
      <c r="B62" s="5">
        <f>MAX(Table9[Count])+ROWS(INDEX(Table10[Count],1):Table10[[#This Row],[Count]])</f>
        <v>51</v>
      </c>
      <c r="C62" s="5" t="s">
        <v>66</v>
      </c>
      <c r="D62" s="5" t="s">
        <v>418</v>
      </c>
      <c r="E62" s="5" t="s">
        <v>13</v>
      </c>
      <c r="F62" s="5"/>
      <c r="G62" s="5"/>
      <c r="H62" s="5"/>
      <c r="I62" s="5"/>
      <c r="J62" s="5"/>
      <c r="K62" s="5"/>
      <c r="L62" s="5"/>
      <c r="M62" s="5" t="s">
        <v>127</v>
      </c>
      <c r="N62" s="5" t="s">
        <v>127</v>
      </c>
      <c r="O62" s="5" t="s">
        <v>127</v>
      </c>
      <c r="P62" s="5" t="s">
        <v>127</v>
      </c>
      <c r="Q62" s="5"/>
      <c r="R62" s="5"/>
    </row>
    <row r="63" spans="1:18" ht="30" x14ac:dyDescent="0.25">
      <c r="A63" s="5" t="str">
        <f>"EM"&amp;TEXT(Table10[[#This Row],[Count]],"000")&amp;"."&amp;IF(Table10[[#This Row],[Category]]="Essential","E",IF(Table10[[#This Row],[Category]]="Discretionary","D","O"))</f>
        <v>EM052.E</v>
      </c>
      <c r="B63" s="5">
        <f>MAX(Table9[Count])+ROWS(INDEX(Table10[Count],1):Table10[[#This Row],[Count]])</f>
        <v>52</v>
      </c>
      <c r="C63" s="5" t="s">
        <v>66</v>
      </c>
      <c r="D63" s="41" t="s">
        <v>419</v>
      </c>
      <c r="E63" s="5" t="s">
        <v>13</v>
      </c>
      <c r="F63" s="5"/>
      <c r="G63" s="5"/>
      <c r="H63" s="5"/>
      <c r="I63" s="5"/>
      <c r="J63" s="5"/>
      <c r="K63" s="5"/>
      <c r="L63" s="5"/>
      <c r="M63" s="5" t="s">
        <v>127</v>
      </c>
      <c r="N63" s="5" t="s">
        <v>127</v>
      </c>
      <c r="O63" s="5" t="s">
        <v>127</v>
      </c>
      <c r="P63" s="5" t="s">
        <v>127</v>
      </c>
      <c r="Q63" s="5"/>
      <c r="R63" s="5"/>
    </row>
    <row r="64" spans="1:18" ht="30" x14ac:dyDescent="0.25">
      <c r="A64" s="5" t="str">
        <f>"EM"&amp;TEXT(Table10[[#This Row],[Count]],"000")&amp;"."&amp;IF(Table10[[#This Row],[Category]]="Essential","E",IF(Table10[[#This Row],[Category]]="Discretionary","D","O"))</f>
        <v>EM053.E</v>
      </c>
      <c r="B64" s="5">
        <f>MAX(Table9[Count])+ROWS(INDEX(Table10[Count],1):Table10[[#This Row],[Count]])</f>
        <v>53</v>
      </c>
      <c r="C64" s="5" t="s">
        <v>66</v>
      </c>
      <c r="D64" s="41" t="s">
        <v>420</v>
      </c>
      <c r="E64" s="5" t="s">
        <v>13</v>
      </c>
      <c r="F64" s="5"/>
      <c r="G64" s="5"/>
      <c r="H64" s="5"/>
      <c r="I64" s="5"/>
      <c r="J64" s="5"/>
      <c r="K64" s="5"/>
      <c r="L64" s="5"/>
      <c r="M64" s="5" t="s">
        <v>127</v>
      </c>
      <c r="N64" s="5" t="s">
        <v>127</v>
      </c>
      <c r="O64" s="5" t="s">
        <v>127</v>
      </c>
      <c r="P64" s="5" t="s">
        <v>127</v>
      </c>
      <c r="Q64" s="5"/>
      <c r="R64" s="5"/>
    </row>
    <row r="65" spans="1:18" ht="30" x14ac:dyDescent="0.25">
      <c r="A65" s="5" t="str">
        <f>"EM"&amp;TEXT(Table10[[#This Row],[Count]],"000")&amp;"."&amp;IF(Table10[[#This Row],[Category]]="Essential","E",IF(Table10[[#This Row],[Category]]="Discretionary","D","O"))</f>
        <v>EM054.E</v>
      </c>
      <c r="B65" s="5">
        <f>MAX(Table9[Count])+ROWS(INDEX(Table10[Count],1):Table10[[#This Row],[Count]])</f>
        <v>54</v>
      </c>
      <c r="C65" s="5" t="s">
        <v>66</v>
      </c>
      <c r="D65" s="5" t="s">
        <v>421</v>
      </c>
      <c r="E65" s="5" t="s">
        <v>13</v>
      </c>
      <c r="F65" s="5"/>
      <c r="G65" s="5"/>
      <c r="H65" s="5"/>
      <c r="I65" s="5"/>
      <c r="J65" s="5"/>
      <c r="K65" s="5"/>
      <c r="L65" s="5"/>
      <c r="M65" s="5" t="s">
        <v>127</v>
      </c>
      <c r="N65" s="5" t="s">
        <v>127</v>
      </c>
      <c r="O65" s="5" t="s">
        <v>127</v>
      </c>
      <c r="P65" s="5" t="s">
        <v>127</v>
      </c>
      <c r="Q65" s="5"/>
      <c r="R65" s="5"/>
    </row>
    <row r="66" spans="1:18" ht="45" x14ac:dyDescent="0.25">
      <c r="A66" s="5" t="str">
        <f>"EM"&amp;TEXT(Table10[[#This Row],[Count]],"000")&amp;"."&amp;IF(Table10[[#This Row],[Category]]="Essential","E",IF(Table10[[#This Row],[Category]]="Discretionary","D","O"))</f>
        <v>EM055.E</v>
      </c>
      <c r="B66" s="5">
        <f>MAX(Table9[Count])+ROWS(INDEX(Table10[Count],1):Table10[[#This Row],[Count]])</f>
        <v>55</v>
      </c>
      <c r="C66" s="5" t="s">
        <v>66</v>
      </c>
      <c r="D66" s="5" t="s">
        <v>422</v>
      </c>
      <c r="E66" s="5" t="s">
        <v>13</v>
      </c>
      <c r="F66" s="5"/>
      <c r="G66" s="5"/>
      <c r="H66" s="5"/>
      <c r="I66" s="5"/>
      <c r="J66" s="5"/>
      <c r="K66" s="5"/>
      <c r="L66" s="5"/>
      <c r="M66" s="5" t="s">
        <v>127</v>
      </c>
      <c r="N66" s="5" t="s">
        <v>127</v>
      </c>
      <c r="O66" s="5" t="s">
        <v>127</v>
      </c>
      <c r="P66" s="5" t="s">
        <v>127</v>
      </c>
      <c r="Q66" s="5"/>
      <c r="R66" s="5"/>
    </row>
    <row r="67" spans="1:18" x14ac:dyDescent="0.25">
      <c r="A67" s="58" t="s">
        <v>423</v>
      </c>
      <c r="B67" s="58"/>
      <c r="C67" s="58"/>
      <c r="D67" s="58"/>
      <c r="E67" s="58"/>
      <c r="F67" s="58"/>
      <c r="G67" s="58"/>
      <c r="H67" s="58"/>
      <c r="I67" s="58"/>
      <c r="J67" s="58"/>
      <c r="K67" s="58"/>
      <c r="L67" s="58"/>
      <c r="M67" s="58"/>
      <c r="N67" s="58"/>
      <c r="O67" s="58"/>
      <c r="P67" s="58"/>
      <c r="Q67" s="58"/>
      <c r="R67" s="58"/>
    </row>
    <row r="69" spans="1:18" x14ac:dyDescent="0.25">
      <c r="A69" s="6" t="s">
        <v>120</v>
      </c>
      <c r="B69" s="6" t="s">
        <v>121</v>
      </c>
      <c r="C69" s="7" t="s">
        <v>122</v>
      </c>
      <c r="D69" s="7" t="s">
        <v>123</v>
      </c>
      <c r="E69" s="6" t="s">
        <v>8</v>
      </c>
      <c r="F69" s="6" t="s">
        <v>124</v>
      </c>
      <c r="G69" s="6" t="s">
        <v>154</v>
      </c>
      <c r="H69" s="6" t="s">
        <v>155</v>
      </c>
      <c r="I69" s="6" t="s">
        <v>156</v>
      </c>
      <c r="J69" s="6" t="s">
        <v>157</v>
      </c>
      <c r="K69" s="6" t="s">
        <v>158</v>
      </c>
      <c r="L69" s="6" t="s">
        <v>159</v>
      </c>
      <c r="M69" s="6" t="s">
        <v>160</v>
      </c>
      <c r="N69" s="6" t="s">
        <v>161</v>
      </c>
      <c r="O69" s="6" t="s">
        <v>162</v>
      </c>
      <c r="P69" s="6" t="s">
        <v>163</v>
      </c>
      <c r="Q69" s="6" t="s">
        <v>164</v>
      </c>
      <c r="R69" s="6" t="s">
        <v>125</v>
      </c>
    </row>
    <row r="70" spans="1:18" ht="30" x14ac:dyDescent="0.25">
      <c r="A70" s="5" t="str">
        <f>"EM"&amp;TEXT(Table11[[#This Row],[Count]],"000")&amp;"."&amp;IF(Table11[[#This Row],[Category]]="Essential","E",IF(Table11[[#This Row],[Category]]="Discretionary","D","O"))</f>
        <v>EM056.E</v>
      </c>
      <c r="B70" s="5">
        <f>MAX(Table10[Count])+ROWS(INDEX(Table11[Count],1):Table11[[#This Row],[Count]])</f>
        <v>56</v>
      </c>
      <c r="C70" s="5" t="s">
        <v>423</v>
      </c>
      <c r="D70" s="5" t="s">
        <v>424</v>
      </c>
      <c r="E70" s="5" t="s">
        <v>13</v>
      </c>
      <c r="F70" s="5"/>
      <c r="G70" s="5"/>
      <c r="H70" s="5"/>
      <c r="I70" s="5"/>
      <c r="J70" s="5"/>
      <c r="K70" s="5"/>
      <c r="L70" s="5"/>
      <c r="M70" s="5" t="s">
        <v>127</v>
      </c>
      <c r="N70" s="5" t="s">
        <v>127</v>
      </c>
      <c r="O70" s="5" t="s">
        <v>127</v>
      </c>
      <c r="P70" s="5" t="s">
        <v>127</v>
      </c>
      <c r="Q70" s="5"/>
      <c r="R70" s="5" t="s">
        <v>425</v>
      </c>
    </row>
    <row r="71" spans="1:18" ht="30" x14ac:dyDescent="0.25">
      <c r="A71" s="5" t="str">
        <f>"EM"&amp;TEXT(Table11[[#This Row],[Count]],"000")&amp;"."&amp;IF(Table11[[#This Row],[Category]]="Essential","E",IF(Table11[[#This Row],[Category]]="Discretionary","D","O"))</f>
        <v>EM057.E</v>
      </c>
      <c r="B71" s="5">
        <f>MAX(Table10[Count])+ROWS(INDEX(Table11[Count],1):Table11[[#This Row],[Count]])</f>
        <v>57</v>
      </c>
      <c r="C71" s="5" t="s">
        <v>423</v>
      </c>
      <c r="D71" s="5" t="s">
        <v>426</v>
      </c>
      <c r="E71" s="5" t="s">
        <v>13</v>
      </c>
      <c r="F71" s="5"/>
      <c r="G71" s="5"/>
      <c r="H71" s="5"/>
      <c r="I71" s="5"/>
      <c r="J71" s="5"/>
      <c r="K71" s="5"/>
      <c r="L71" s="5"/>
      <c r="M71" s="5" t="s">
        <v>127</v>
      </c>
      <c r="N71" s="5" t="s">
        <v>127</v>
      </c>
      <c r="O71" s="5" t="s">
        <v>127</v>
      </c>
      <c r="P71" s="5" t="s">
        <v>127</v>
      </c>
      <c r="Q71" s="5"/>
      <c r="R71" s="5" t="s">
        <v>425</v>
      </c>
    </row>
    <row r="72" spans="1:18" ht="30" x14ac:dyDescent="0.25">
      <c r="A72" s="5" t="str">
        <f>"EM"&amp;TEXT(Table11[[#This Row],[Count]],"000")&amp;"."&amp;IF(Table11[[#This Row],[Category]]="Essential","E",IF(Table11[[#This Row],[Category]]="Discretionary","D","O"))</f>
        <v>EM058.E</v>
      </c>
      <c r="B72" s="5">
        <f>MAX(Table10[Count])+ROWS(INDEX(Table11[Count],1):Table11[[#This Row],[Count]])</f>
        <v>58</v>
      </c>
      <c r="C72" s="5" t="s">
        <v>423</v>
      </c>
      <c r="D72" s="5" t="s">
        <v>427</v>
      </c>
      <c r="E72" s="5" t="s">
        <v>13</v>
      </c>
      <c r="F72" s="5"/>
      <c r="G72" s="5"/>
      <c r="H72" s="5"/>
      <c r="I72" s="5"/>
      <c r="J72" s="5"/>
      <c r="K72" s="5"/>
      <c r="L72" s="5"/>
      <c r="M72" s="5" t="s">
        <v>127</v>
      </c>
      <c r="N72" s="5" t="s">
        <v>127</v>
      </c>
      <c r="O72" s="5" t="s">
        <v>127</v>
      </c>
      <c r="P72" s="5" t="s">
        <v>127</v>
      </c>
      <c r="Q72" s="5"/>
      <c r="R72" s="5" t="s">
        <v>425</v>
      </c>
    </row>
    <row r="73" spans="1:18" ht="30" x14ac:dyDescent="0.25">
      <c r="A73" s="5" t="str">
        <f>"EM"&amp;TEXT(Table11[[#This Row],[Count]],"000")&amp;"."&amp;IF(Table11[[#This Row],[Category]]="Essential","E",IF(Table11[[#This Row],[Category]]="Discretionary","D","O"))</f>
        <v>EM059.E</v>
      </c>
      <c r="B73" s="5">
        <f>MAX(Table10[Count])+ROWS(INDEX(Table11[Count],1):Table11[[#This Row],[Count]])</f>
        <v>59</v>
      </c>
      <c r="C73" s="5" t="s">
        <v>423</v>
      </c>
      <c r="D73" s="5" t="s">
        <v>428</v>
      </c>
      <c r="E73" s="5" t="s">
        <v>13</v>
      </c>
      <c r="F73" s="5"/>
      <c r="G73" s="5"/>
      <c r="H73" s="5"/>
      <c r="I73" s="5"/>
      <c r="J73" s="5"/>
      <c r="K73" s="5"/>
      <c r="L73" s="5"/>
      <c r="M73" s="5" t="s">
        <v>127</v>
      </c>
      <c r="N73" s="5" t="s">
        <v>127</v>
      </c>
      <c r="O73" s="5" t="s">
        <v>127</v>
      </c>
      <c r="P73" s="5" t="s">
        <v>127</v>
      </c>
      <c r="Q73" s="5"/>
      <c r="R73" s="5" t="s">
        <v>425</v>
      </c>
    </row>
    <row r="74" spans="1:18" ht="30" x14ac:dyDescent="0.25">
      <c r="A74" s="5" t="str">
        <f>"EM"&amp;TEXT(Table11[[#This Row],[Count]],"000")&amp;"."&amp;IF(Table11[[#This Row],[Category]]="Essential","E",IF(Table11[[#This Row],[Category]]="Discretionary","D","O"))</f>
        <v>EM060.E</v>
      </c>
      <c r="B74" s="5">
        <f>MAX(Table10[Count])+ROWS(INDEX(Table11[Count],1):Table11[[#This Row],[Count]])</f>
        <v>60</v>
      </c>
      <c r="C74" s="5" t="s">
        <v>423</v>
      </c>
      <c r="D74" s="5" t="s">
        <v>429</v>
      </c>
      <c r="E74" s="5" t="s">
        <v>13</v>
      </c>
      <c r="F74" s="5"/>
      <c r="G74" s="5"/>
      <c r="H74" s="5"/>
      <c r="I74" s="5"/>
      <c r="J74" s="5"/>
      <c r="K74" s="5"/>
      <c r="L74" s="5"/>
      <c r="M74" s="5" t="s">
        <v>127</v>
      </c>
      <c r="N74" s="5" t="s">
        <v>127</v>
      </c>
      <c r="O74" s="5" t="s">
        <v>127</v>
      </c>
      <c r="P74" s="5" t="s">
        <v>127</v>
      </c>
      <c r="Q74" s="5"/>
      <c r="R74" s="5" t="s">
        <v>425</v>
      </c>
    </row>
    <row r="75" spans="1:18" ht="30" x14ac:dyDescent="0.25">
      <c r="A75" s="5" t="str">
        <f>"EM"&amp;TEXT(Table11[[#This Row],[Count]],"000")&amp;"."&amp;IF(Table11[[#This Row],[Category]]="Essential","E",IF(Table11[[#This Row],[Category]]="Discretionary","D","O"))</f>
        <v>EM061.E</v>
      </c>
      <c r="B75" s="5">
        <f>MAX(Table10[Count])+ROWS(INDEX(Table11[Count],1):Table11[[#This Row],[Count]])</f>
        <v>61</v>
      </c>
      <c r="C75" s="5" t="s">
        <v>423</v>
      </c>
      <c r="D75" s="5" t="s">
        <v>430</v>
      </c>
      <c r="E75" s="5" t="s">
        <v>13</v>
      </c>
      <c r="F75" s="5"/>
      <c r="G75" s="5"/>
      <c r="H75" s="5"/>
      <c r="I75" s="5"/>
      <c r="J75" s="5"/>
      <c r="K75" s="5"/>
      <c r="L75" s="5"/>
      <c r="M75" s="5" t="s">
        <v>127</v>
      </c>
      <c r="N75" s="5" t="s">
        <v>127</v>
      </c>
      <c r="O75" s="5" t="s">
        <v>127</v>
      </c>
      <c r="P75" s="5" t="s">
        <v>127</v>
      </c>
      <c r="Q75" s="5"/>
      <c r="R75" s="5" t="s">
        <v>425</v>
      </c>
    </row>
  </sheetData>
  <mergeCells count="6">
    <mergeCell ref="A1:R1"/>
    <mergeCell ref="A3:R3"/>
    <mergeCell ref="A22:R22"/>
    <mergeCell ref="A58:R58"/>
    <mergeCell ref="A67:R67"/>
    <mergeCell ref="A2:R2"/>
  </mergeCells>
  <conditionalFormatting sqref="E6:E21">
    <cfRule type="containsText" dxfId="206" priority="1" operator="containsText" text="Other">
      <formula>NOT(ISERROR(SEARCH("Other",E6)))</formula>
    </cfRule>
    <cfRule type="containsText" dxfId="205" priority="2" operator="containsText" text="Discretionary">
      <formula>NOT(ISERROR(SEARCH("Discretionary",E6)))</formula>
    </cfRule>
    <cfRule type="containsText" dxfId="204" priority="3" operator="containsText" text="Essential">
      <formula>NOT(ISERROR(SEARCH("Essential",E6)))</formula>
    </cfRule>
  </conditionalFormatting>
  <conditionalFormatting sqref="E22:E24 E58:E60 E67:E69 E76:E506">
    <cfRule type="containsText" dxfId="203" priority="93" operator="containsText" text="Other">
      <formula>NOT(ISERROR(SEARCH("Other",E22)))</formula>
    </cfRule>
    <cfRule type="containsText" dxfId="202" priority="95" operator="containsText" text="Discretionary">
      <formula>NOT(ISERROR(SEARCH("Discretionary",E22)))</formula>
    </cfRule>
    <cfRule type="containsText" dxfId="201" priority="96" operator="containsText" text="Essential">
      <formula>NOT(ISERROR(SEARCH("Essential",E22)))</formula>
    </cfRule>
  </conditionalFormatting>
  <conditionalFormatting sqref="E25:E57">
    <cfRule type="containsText" dxfId="200" priority="25" operator="containsText" text="Other">
      <formula>NOT(ISERROR(SEARCH("Other",E25)))</formula>
    </cfRule>
    <cfRule type="containsText" dxfId="199" priority="26" operator="containsText" text="Discretionary">
      <formula>NOT(ISERROR(SEARCH("Discretionary",E25)))</formula>
    </cfRule>
    <cfRule type="containsText" dxfId="198" priority="27" operator="containsText" text="Essential">
      <formula>NOT(ISERROR(SEARCH("Essential",E25)))</formula>
    </cfRule>
  </conditionalFormatting>
  <conditionalFormatting sqref="E61:E66">
    <cfRule type="containsText" dxfId="197" priority="9" operator="containsText" text="Other">
      <formula>NOT(ISERROR(SEARCH("Other",E61)))</formula>
    </cfRule>
    <cfRule type="containsText" dxfId="196" priority="10" operator="containsText" text="Discretionary">
      <formula>NOT(ISERROR(SEARCH("Discretionary",E61)))</formula>
    </cfRule>
    <cfRule type="containsText" dxfId="195" priority="11" operator="containsText" text="Essential">
      <formula>NOT(ISERROR(SEARCH("Essential",E61)))</formula>
    </cfRule>
  </conditionalFormatting>
  <conditionalFormatting sqref="E70:E75">
    <cfRule type="containsText" dxfId="194" priority="5" operator="containsText" text="Other">
      <formula>NOT(ISERROR(SEARCH("Other",E70)))</formula>
    </cfRule>
    <cfRule type="containsText" dxfId="193" priority="6" operator="containsText" text="Discretionary">
      <formula>NOT(ISERROR(SEARCH("Discretionary",E70)))</formula>
    </cfRule>
    <cfRule type="containsText" dxfId="192" priority="7" operator="containsText" text="Essential">
      <formula>NOT(ISERROR(SEARCH("Essential",E70)))</formula>
    </cfRule>
  </conditionalFormatting>
  <conditionalFormatting sqref="E23:P23 E59:P59 E68:P68 E76:P689">
    <cfRule type="containsText" dxfId="191" priority="97" operator="containsText" text="x">
      <formula>NOT(ISERROR(SEARCH("x",E23)))</formula>
    </cfRule>
  </conditionalFormatting>
  <conditionalFormatting sqref="F6:Q21">
    <cfRule type="containsText" dxfId="190" priority="4" operator="containsText" text="x">
      <formula>NOT(ISERROR(SEARCH("x",F6)))</formula>
    </cfRule>
  </conditionalFormatting>
  <conditionalFormatting sqref="F24:Q57">
    <cfRule type="containsText" dxfId="189" priority="28" operator="containsText" text="x">
      <formula>NOT(ISERROR(SEARCH("x",F24)))</formula>
    </cfRule>
  </conditionalFormatting>
  <conditionalFormatting sqref="F60:Q66">
    <cfRule type="containsText" dxfId="188" priority="12" operator="containsText" text="x">
      <formula>NOT(ISERROR(SEARCH("x",F60)))</formula>
    </cfRule>
  </conditionalFormatting>
  <conditionalFormatting sqref="F69:Q75">
    <cfRule type="containsText" dxfId="187" priority="8" operator="containsText" text="x">
      <formula>NOT(ISERROR(SEARCH("x",F69)))</formula>
    </cfRule>
  </conditionalFormatting>
  <dataValidations count="1">
    <dataValidation type="list" allowBlank="1" showInputMessage="1" showErrorMessage="1" sqref="E25:E57 E61:E66 E70:E75 E6:E21" xr:uid="{FC0E4CFC-F47A-4C03-ABE2-EC1CC5B338E6}">
      <formula1>Cats</formula1>
    </dataValidation>
  </dataValidations>
  <pageMargins left="0.7" right="0.7" top="0.75" bottom="0.75" header="0.3" footer="0.3"/>
  <pageSetup paperSize="9" scale="48" fitToHeight="0" orientation="landscape" r:id="rId1"/>
  <headerFooter>
    <oddFooter>&amp;C&amp;P</oddFooter>
  </headerFooter>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A2030-549C-455E-94A7-17A364AE41C7}">
  <sheetPr>
    <pageSetUpPr fitToPage="1"/>
  </sheetPr>
  <dimension ref="A1:R20"/>
  <sheetViews>
    <sheetView view="pageLayout" topLeftCell="A11" zoomScaleNormal="100" workbookViewId="0">
      <selection activeCell="I15" sqref="I15"/>
    </sheetView>
  </sheetViews>
  <sheetFormatPr defaultRowHeight="15" x14ac:dyDescent="0.25"/>
  <cols>
    <col min="1" max="1" width="17.42578125" customWidth="1"/>
    <col min="2" max="2" width="17.42578125" hidden="1" customWidth="1"/>
    <col min="3" max="3" width="25" customWidth="1"/>
    <col min="4" max="4" width="37.42578125" style="5" customWidth="1"/>
    <col min="5" max="5" width="13.7109375" style="2" bestFit="1" customWidth="1"/>
    <col min="6" max="8" width="9.140625" style="2"/>
    <col min="9" max="9" width="123.42578125" style="5" customWidth="1"/>
  </cols>
  <sheetData>
    <row r="1" spans="1:18" ht="31.5" x14ac:dyDescent="0.5">
      <c r="A1" s="57" t="s">
        <v>110</v>
      </c>
      <c r="B1" s="57"/>
      <c r="C1" s="57"/>
      <c r="D1" s="57"/>
      <c r="E1" s="57"/>
      <c r="F1" s="57"/>
      <c r="G1" s="57"/>
      <c r="H1" s="57"/>
      <c r="I1" s="57"/>
    </row>
    <row r="2" spans="1:18" ht="48.75" customHeight="1" x14ac:dyDescent="0.25">
      <c r="A2" s="68" t="s">
        <v>152</v>
      </c>
      <c r="B2" s="68"/>
      <c r="C2" s="68"/>
      <c r="D2" s="68"/>
      <c r="E2" s="68"/>
      <c r="F2" s="68"/>
      <c r="G2" s="68"/>
      <c r="H2" s="68"/>
      <c r="I2" s="68"/>
      <c r="J2" s="68"/>
      <c r="K2" s="68"/>
      <c r="L2" s="68"/>
      <c r="M2" s="68"/>
      <c r="N2" s="68"/>
      <c r="O2" s="68"/>
      <c r="P2" s="68"/>
      <c r="Q2" s="68"/>
      <c r="R2" s="68"/>
    </row>
    <row r="3" spans="1:18" x14ac:dyDescent="0.25">
      <c r="A3" s="58" t="s">
        <v>110</v>
      </c>
      <c r="B3" s="58"/>
      <c r="C3" s="58"/>
      <c r="D3" s="58"/>
      <c r="E3" s="58"/>
      <c r="F3" s="58"/>
      <c r="G3" s="58"/>
      <c r="H3" s="58"/>
      <c r="I3" s="58"/>
    </row>
    <row r="5" spans="1:18" x14ac:dyDescent="0.25">
      <c r="A5" s="3" t="s">
        <v>120</v>
      </c>
      <c r="B5" s="3" t="s">
        <v>121</v>
      </c>
      <c r="C5" s="4" t="s">
        <v>122</v>
      </c>
      <c r="D5" s="4" t="s">
        <v>123</v>
      </c>
      <c r="E5" s="4" t="s">
        <v>8</v>
      </c>
      <c r="F5" s="4" t="s">
        <v>124</v>
      </c>
      <c r="G5" s="4" t="s">
        <v>431</v>
      </c>
      <c r="H5" s="4" t="s">
        <v>432</v>
      </c>
      <c r="I5" s="4" t="s">
        <v>125</v>
      </c>
    </row>
    <row r="6" spans="1:18" ht="45" x14ac:dyDescent="0.25">
      <c r="A6" s="2" t="str">
        <f>"Found"&amp;TEXT(Table12[[#This Row],[Count]],"000")&amp;"."&amp;IF(Table12[[#This Row],[Category]]="Essential","E",IF(Table12[[#This Row],[Category]]="Discretionary","D","O"))</f>
        <v>Found001.D</v>
      </c>
      <c r="B6" s="2">
        <f>ROW()-ROW(Table12[[#Headers],[Count]])</f>
        <v>1</v>
      </c>
      <c r="C6" s="2" t="s">
        <v>110</v>
      </c>
      <c r="D6" s="5" t="s">
        <v>433</v>
      </c>
      <c r="E6" s="2" t="s">
        <v>18</v>
      </c>
      <c r="H6" s="2" t="s">
        <v>127</v>
      </c>
    </row>
    <row r="7" spans="1:18" ht="45" x14ac:dyDescent="0.25">
      <c r="A7" s="2" t="str">
        <f>"Found"&amp;TEXT(Table12[[#This Row],[Count]],"000")&amp;"."&amp;IF(Table12[[#This Row],[Category]]="Essential","E",IF(Table12[[#This Row],[Category]]="Discretionary","D","O"))</f>
        <v>Found002.E</v>
      </c>
      <c r="B7" s="2">
        <f>ROW()-ROW(Table12[[#Headers],[Count]])</f>
        <v>2</v>
      </c>
      <c r="C7" s="2" t="s">
        <v>110</v>
      </c>
      <c r="D7" s="5" t="s">
        <v>434</v>
      </c>
      <c r="E7" s="2" t="s">
        <v>13</v>
      </c>
      <c r="H7" s="2" t="s">
        <v>127</v>
      </c>
      <c r="I7" s="5" t="s">
        <v>435</v>
      </c>
    </row>
    <row r="8" spans="1:18" x14ac:dyDescent="0.25">
      <c r="A8" s="2" t="str">
        <f>"Found"&amp;TEXT(Table12[[#This Row],[Count]],"000")&amp;"."&amp;IF(Table12[[#This Row],[Category]]="Essential","E",IF(Table12[[#This Row],[Category]]="Discretionary","D","O"))</f>
        <v>Found003.D</v>
      </c>
      <c r="B8" s="2">
        <f>ROW()-ROW(Table12[[#Headers],[Count]])</f>
        <v>3</v>
      </c>
      <c r="C8" s="2" t="s">
        <v>110</v>
      </c>
      <c r="D8" s="5" t="s">
        <v>436</v>
      </c>
      <c r="E8" s="2" t="s">
        <v>18</v>
      </c>
      <c r="H8" s="2" t="s">
        <v>127</v>
      </c>
      <c r="I8" s="5" t="s">
        <v>437</v>
      </c>
    </row>
    <row r="9" spans="1:18" ht="30" x14ac:dyDescent="0.25">
      <c r="A9" s="2" t="str">
        <f>"Found"&amp;TEXT(Table12[[#This Row],[Count]],"000")&amp;"."&amp;IF(Table12[[#This Row],[Category]]="Essential","E",IF(Table12[[#This Row],[Category]]="Discretionary","D","O"))</f>
        <v>Found004.D</v>
      </c>
      <c r="B9" s="2">
        <f>ROW()-ROW(Table12[[#Headers],[Count]])</f>
        <v>4</v>
      </c>
      <c r="C9" s="2" t="s">
        <v>110</v>
      </c>
      <c r="D9" s="5" t="s">
        <v>438</v>
      </c>
      <c r="E9" s="2" t="s">
        <v>18</v>
      </c>
      <c r="H9" s="2" t="s">
        <v>127</v>
      </c>
      <c r="I9" s="5" t="s">
        <v>439</v>
      </c>
    </row>
    <row r="10" spans="1:18" ht="30" x14ac:dyDescent="0.25">
      <c r="A10" s="2" t="str">
        <f>"Found"&amp;TEXT(Table12[[#This Row],[Count]],"000")&amp;"."&amp;IF(Table12[[#This Row],[Category]]="Essential","E",IF(Table12[[#This Row],[Category]]="Discretionary","D","O"))</f>
        <v>Found005.D</v>
      </c>
      <c r="B10" s="2">
        <f>ROW()-ROW(Table12[[#Headers],[Count]])</f>
        <v>5</v>
      </c>
      <c r="C10" s="2" t="s">
        <v>110</v>
      </c>
      <c r="D10" s="5" t="s">
        <v>440</v>
      </c>
      <c r="E10" s="2" t="s">
        <v>18</v>
      </c>
      <c r="H10" s="2" t="s">
        <v>127</v>
      </c>
      <c r="I10" s="5" t="s">
        <v>441</v>
      </c>
    </row>
    <row r="11" spans="1:18" ht="60" x14ac:dyDescent="0.25">
      <c r="A11" s="2" t="str">
        <f>"Found"&amp;TEXT(Table12[[#This Row],[Count]],"000")&amp;"."&amp;IF(Table12[[#This Row],[Category]]="Essential","E",IF(Table12[[#This Row],[Category]]="Discretionary","D","O"))</f>
        <v>Found006.E</v>
      </c>
      <c r="B11" s="2">
        <f>ROW()-ROW(Table12[[#Headers],[Count]])</f>
        <v>6</v>
      </c>
      <c r="C11" s="2" t="s">
        <v>110</v>
      </c>
      <c r="D11" s="5" t="s">
        <v>442</v>
      </c>
      <c r="E11" s="2" t="s">
        <v>13</v>
      </c>
      <c r="F11" s="2" t="s">
        <v>127</v>
      </c>
      <c r="I11" s="5" t="s">
        <v>443</v>
      </c>
    </row>
    <row r="12" spans="1:18" ht="30" x14ac:dyDescent="0.25">
      <c r="A12" s="2" t="str">
        <f>"Found"&amp;TEXT(Table12[[#This Row],[Count]],"000")&amp;"."&amp;IF(Table12[[#This Row],[Category]]="Essential","E",IF(Table12[[#This Row],[Category]]="Discretionary","D","O"))</f>
        <v>Found007.E</v>
      </c>
      <c r="B12" s="2">
        <f>ROW()-ROW(Table12[[#Headers],[Count]])</f>
        <v>7</v>
      </c>
      <c r="C12" s="2" t="s">
        <v>110</v>
      </c>
      <c r="D12" s="5" t="s">
        <v>444</v>
      </c>
      <c r="E12" s="2" t="s">
        <v>13</v>
      </c>
      <c r="F12" s="2" t="s">
        <v>127</v>
      </c>
      <c r="I12" s="5" t="s">
        <v>435</v>
      </c>
    </row>
    <row r="13" spans="1:18" ht="30" x14ac:dyDescent="0.25">
      <c r="A13" s="2" t="str">
        <f>"Found"&amp;TEXT(Table12[[#This Row],[Count]],"000")&amp;"."&amp;IF(Table12[[#This Row],[Category]]="Essential","E",IF(Table12[[#This Row],[Category]]="Discretionary","D","O"))</f>
        <v>Found008.E</v>
      </c>
      <c r="B13" s="2">
        <f>ROW()-ROW(Table12[[#Headers],[Count]])</f>
        <v>8</v>
      </c>
      <c r="C13" s="2" t="s">
        <v>110</v>
      </c>
      <c r="D13" s="5" t="s">
        <v>445</v>
      </c>
      <c r="E13" s="2" t="s">
        <v>13</v>
      </c>
      <c r="H13" s="2" t="s">
        <v>127</v>
      </c>
    </row>
    <row r="14" spans="1:18" ht="30" x14ac:dyDescent="0.25">
      <c r="A14" s="2" t="str">
        <f>"Found"&amp;TEXT(Table12[[#This Row],[Count]],"000")&amp;"."&amp;IF(Table12[[#This Row],[Category]]="Essential","E",IF(Table12[[#This Row],[Category]]="Discretionary","D","O"))</f>
        <v>Found009.D</v>
      </c>
      <c r="B14" s="2">
        <f>ROW()-ROW(Table12[[#Headers],[Count]])</f>
        <v>9</v>
      </c>
      <c r="C14" s="2" t="s">
        <v>110</v>
      </c>
      <c r="D14" s="5" t="s">
        <v>446</v>
      </c>
      <c r="E14" s="2" t="s">
        <v>18</v>
      </c>
      <c r="F14" s="2" t="s">
        <v>127</v>
      </c>
      <c r="I14" s="5" t="s">
        <v>447</v>
      </c>
    </row>
    <row r="15" spans="1:18" x14ac:dyDescent="0.25">
      <c r="A15" s="2" t="str">
        <f>"Found"&amp;TEXT(Table12[[#This Row],[Count]],"000")&amp;"."&amp;IF(Table12[[#This Row],[Category]]="Essential","E",IF(Table12[[#This Row],[Category]]="Discretionary","D","O"))</f>
        <v>Found010.E</v>
      </c>
      <c r="B15" s="2">
        <f>ROW()-ROW(Table12[[#Headers],[Count]])</f>
        <v>10</v>
      </c>
      <c r="C15" s="2" t="s">
        <v>110</v>
      </c>
      <c r="D15" s="5" t="s">
        <v>448</v>
      </c>
      <c r="E15" s="2" t="s">
        <v>13</v>
      </c>
      <c r="H15" s="2" t="s">
        <v>127</v>
      </c>
      <c r="I15" s="5" t="s">
        <v>449</v>
      </c>
    </row>
    <row r="16" spans="1:18" ht="30" x14ac:dyDescent="0.25">
      <c r="A16" s="2" t="str">
        <f>"Found"&amp;TEXT(Table12[[#This Row],[Count]],"000")&amp;"."&amp;IF(Table12[[#This Row],[Category]]="Essential","E",IF(Table12[[#This Row],[Category]]="Discretionary","D","O"))</f>
        <v>Found011.D</v>
      </c>
      <c r="B16" s="2">
        <f>ROW()-ROW(Table12[[#Headers],[Count]])</f>
        <v>11</v>
      </c>
      <c r="C16" s="2" t="s">
        <v>110</v>
      </c>
      <c r="D16" s="5" t="s">
        <v>450</v>
      </c>
      <c r="E16" s="2" t="s">
        <v>18</v>
      </c>
      <c r="H16" s="2" t="s">
        <v>127</v>
      </c>
      <c r="I16" s="5" t="s">
        <v>437</v>
      </c>
    </row>
    <row r="17" spans="1:9" x14ac:dyDescent="0.25">
      <c r="A17" s="2" t="str">
        <f>"Found"&amp;TEXT(Table12[[#This Row],[Count]],"000")&amp;"."&amp;IF(Table12[[#This Row],[Category]]="Essential","E",IF(Table12[[#This Row],[Category]]="Discretionary","D","O"))</f>
        <v>Found012.D</v>
      </c>
      <c r="B17" s="2">
        <f>ROW()-ROW(Table12[[#Headers],[Count]])</f>
        <v>12</v>
      </c>
      <c r="C17" s="2" t="s">
        <v>110</v>
      </c>
      <c r="D17" s="5" t="s">
        <v>451</v>
      </c>
      <c r="E17" s="2" t="s">
        <v>18</v>
      </c>
      <c r="I17" s="5" t="s">
        <v>439</v>
      </c>
    </row>
    <row r="18" spans="1:9" ht="30" x14ac:dyDescent="0.25">
      <c r="A18" s="2" t="str">
        <f>"Found"&amp;TEXT(Table12[[#This Row],[Count]],"000")&amp;"."&amp;IF(Table12[[#This Row],[Category]]="Essential","E",IF(Table12[[#This Row],[Category]]="Discretionary","D","O"))</f>
        <v>Found013.D</v>
      </c>
      <c r="B18" s="2">
        <f>ROW()-ROW(Table12[[#Headers],[Count]])</f>
        <v>13</v>
      </c>
      <c r="C18" s="2" t="s">
        <v>110</v>
      </c>
      <c r="D18" s="5" t="s">
        <v>452</v>
      </c>
      <c r="E18" s="2" t="s">
        <v>18</v>
      </c>
      <c r="F18" s="2" t="s">
        <v>127</v>
      </c>
      <c r="I18" s="5" t="s">
        <v>447</v>
      </c>
    </row>
    <row r="19" spans="1:9" ht="30" x14ac:dyDescent="0.25">
      <c r="A19" s="2" t="str">
        <f>"Found"&amp;TEXT(Table12[[#This Row],[Count]],"000")&amp;"."&amp;IF(Table12[[#This Row],[Category]]="Essential","E",IF(Table12[[#This Row],[Category]]="Discretionary","D","O"))</f>
        <v>Found014.D</v>
      </c>
      <c r="B19" s="2">
        <f>ROW()-ROW(Table12[[#Headers],[Count]])</f>
        <v>14</v>
      </c>
      <c r="C19" s="2" t="s">
        <v>110</v>
      </c>
      <c r="D19" s="5" t="s">
        <v>453</v>
      </c>
      <c r="E19" s="2" t="s">
        <v>18</v>
      </c>
      <c r="H19" s="2" t="s">
        <v>127</v>
      </c>
    </row>
    <row r="20" spans="1:9" ht="45" x14ac:dyDescent="0.25">
      <c r="A20" s="2" t="str">
        <f>"Found"&amp;TEXT(Table12[[#This Row],[Count]],"000")&amp;"."&amp;IF(Table12[[#This Row],[Category]]="Essential","E",IF(Table12[[#This Row],[Category]]="Discretionary","D","O"))</f>
        <v>Found015.D</v>
      </c>
      <c r="B20" s="2">
        <f>ROW()-ROW(Table12[[#Headers],[Count]])</f>
        <v>15</v>
      </c>
      <c r="C20" s="2" t="s">
        <v>110</v>
      </c>
      <c r="D20" s="5" t="s">
        <v>454</v>
      </c>
      <c r="E20" s="2" t="s">
        <v>18</v>
      </c>
      <c r="F20" s="2" t="s">
        <v>127</v>
      </c>
    </row>
  </sheetData>
  <mergeCells count="3">
    <mergeCell ref="A1:I1"/>
    <mergeCell ref="A3:I3"/>
    <mergeCell ref="A2:R2"/>
  </mergeCells>
  <conditionalFormatting sqref="E6:E622">
    <cfRule type="containsText" dxfId="186" priority="2" operator="containsText" text="Other">
      <formula>NOT(ISERROR(SEARCH("Other",E6)))</formula>
    </cfRule>
    <cfRule type="containsText" dxfId="185" priority="4" operator="containsText" text="Discretionary">
      <formula>NOT(ISERROR(SEARCH("Discretionary",E6)))</formula>
    </cfRule>
    <cfRule type="containsText" dxfId="184" priority="5" operator="containsText" text="Essential">
      <formula>NOT(ISERROR(SEARCH("Essential",E6)))</formula>
    </cfRule>
  </conditionalFormatting>
  <conditionalFormatting sqref="F6:H20">
    <cfRule type="containsText" dxfId="183" priority="1" operator="containsText" text="x">
      <formula>NOT(ISERROR(SEARCH("x",F6)))</formula>
    </cfRule>
  </conditionalFormatting>
  <conditionalFormatting sqref="F21:H622">
    <cfRule type="containsText" dxfId="182" priority="6" operator="containsText" text="x">
      <formula>NOT(ISERROR(SEARCH("x",F21)))</formula>
    </cfRule>
  </conditionalFormatting>
  <dataValidations count="1">
    <dataValidation type="list" allowBlank="1" showInputMessage="1" showErrorMessage="1" sqref="E6:E20" xr:uid="{C7DFB9E6-07CD-4A3B-AAE8-7D594FD25907}">
      <formula1>Cats</formula1>
    </dataValidation>
  </dataValidations>
  <pageMargins left="0.7" right="0.7" top="0.75" bottom="0.75" header="0.3" footer="0.3"/>
  <pageSetup paperSize="9" scale="40" fitToHeight="0" orientation="landscape" r:id="rId1"/>
  <headerFooter>
    <oddFooter>&amp;C&amp;P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A94A-75C5-4301-AE62-89BD07EA8AB0}">
  <sheetPr>
    <pageSetUpPr fitToPage="1"/>
  </sheetPr>
  <dimension ref="A1:R77"/>
  <sheetViews>
    <sheetView view="pageLayout" topLeftCell="I1" zoomScaleNormal="100" workbookViewId="0">
      <selection activeCell="S1" sqref="S1:S1048576"/>
    </sheetView>
  </sheetViews>
  <sheetFormatPr defaultRowHeight="15" x14ac:dyDescent="0.25"/>
  <cols>
    <col min="1" max="1" width="17.42578125" customWidth="1"/>
    <col min="2" max="2" width="17.42578125" hidden="1" customWidth="1"/>
    <col min="3" max="3" width="25" style="5" customWidth="1"/>
    <col min="4" max="4" width="37.42578125" style="2" customWidth="1"/>
    <col min="5" max="5" width="13.7109375" style="2" bestFit="1" customWidth="1"/>
    <col min="6" max="16" width="9.140625" style="2"/>
    <col min="17" max="17" width="9.140625" style="1" customWidth="1"/>
    <col min="18" max="18" width="68.5703125" style="2" customWidth="1"/>
  </cols>
  <sheetData>
    <row r="1" spans="1:18" ht="31.5" x14ac:dyDescent="0.5">
      <c r="A1" s="57" t="s">
        <v>107</v>
      </c>
      <c r="B1" s="57"/>
      <c r="C1" s="57"/>
      <c r="D1" s="57"/>
      <c r="E1" s="57"/>
      <c r="F1" s="57"/>
      <c r="G1" s="57"/>
      <c r="H1" s="57"/>
      <c r="I1" s="57"/>
      <c r="J1" s="57"/>
      <c r="K1" s="57"/>
      <c r="L1" s="57"/>
      <c r="M1" s="57"/>
      <c r="N1" s="57"/>
      <c r="O1" s="57"/>
      <c r="P1" s="57"/>
      <c r="Q1" s="57"/>
      <c r="R1" s="57"/>
    </row>
    <row r="2" spans="1:18" ht="49.5" customHeight="1" x14ac:dyDescent="0.25">
      <c r="A2" s="59" t="s">
        <v>152</v>
      </c>
      <c r="B2" s="59"/>
      <c r="C2" s="59"/>
      <c r="D2" s="59"/>
      <c r="E2" s="59"/>
      <c r="F2" s="59"/>
      <c r="G2" s="59"/>
      <c r="H2" s="59"/>
      <c r="I2" s="59"/>
      <c r="J2" s="59"/>
      <c r="K2" s="59"/>
      <c r="L2" s="59"/>
      <c r="M2" s="59"/>
      <c r="N2" s="59"/>
      <c r="O2" s="59"/>
      <c r="P2" s="59"/>
      <c r="Q2" s="59"/>
      <c r="R2" s="59"/>
    </row>
    <row r="3" spans="1:18" x14ac:dyDescent="0.25">
      <c r="A3" s="58" t="s">
        <v>455</v>
      </c>
      <c r="B3" s="58"/>
      <c r="C3" s="58"/>
      <c r="D3" s="58"/>
      <c r="E3" s="58"/>
      <c r="F3" s="58"/>
      <c r="G3" s="58"/>
      <c r="H3" s="58"/>
      <c r="I3" s="58"/>
      <c r="J3" s="58"/>
      <c r="K3" s="58"/>
      <c r="L3" s="58"/>
      <c r="M3" s="58"/>
      <c r="N3" s="58"/>
      <c r="O3" s="58"/>
      <c r="P3" s="58"/>
      <c r="Q3" s="58"/>
      <c r="R3" s="58"/>
    </row>
    <row r="5" spans="1:18" x14ac:dyDescent="0.25">
      <c r="A5" s="3" t="s">
        <v>120</v>
      </c>
      <c r="B5" s="3" t="s">
        <v>121</v>
      </c>
      <c r="C5" s="6"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x14ac:dyDescent="0.25">
      <c r="A6" s="2" t="str">
        <f>"OG"&amp;TEXT(Table45[[#This Row],[Count]],"000")&amp;"."&amp;IF(Table45[[#This Row],[Category]]="Essential","E",IF(Table45[[#This Row],[Category]]="Discretionary","D","O"))</f>
        <v>OG001.E</v>
      </c>
      <c r="B6" s="2">
        <f>ROW()-ROW(Table45[[#Headers],[Count]])</f>
        <v>1</v>
      </c>
      <c r="C6" s="2" t="s">
        <v>111</v>
      </c>
      <c r="D6" s="5" t="s">
        <v>456</v>
      </c>
      <c r="E6" s="2" t="s">
        <v>13</v>
      </c>
      <c r="O6" s="2" t="s">
        <v>127</v>
      </c>
      <c r="P6" s="2" t="s">
        <v>127</v>
      </c>
      <c r="Q6" s="2" t="s">
        <v>127</v>
      </c>
      <c r="R6" s="5" t="s">
        <v>457</v>
      </c>
    </row>
    <row r="7" spans="1:18" ht="30" x14ac:dyDescent="0.25">
      <c r="A7" s="2" t="str">
        <f>"OG"&amp;TEXT(Table45[[#This Row],[Count]],"000")&amp;"."&amp;IF(Table45[[#This Row],[Category]]="Essential","E",IF(Table45[[#This Row],[Category]]="Discretionary","D","O"))</f>
        <v>OG002.E</v>
      </c>
      <c r="B7" s="2">
        <f>ROW()-ROW(Table45[[#Headers],[Count]])</f>
        <v>2</v>
      </c>
      <c r="C7" s="2" t="s">
        <v>111</v>
      </c>
      <c r="D7" s="5" t="s">
        <v>458</v>
      </c>
      <c r="E7" s="2" t="s">
        <v>13</v>
      </c>
      <c r="O7" s="2" t="s">
        <v>127</v>
      </c>
      <c r="P7" s="2" t="s">
        <v>127</v>
      </c>
      <c r="Q7" s="2" t="s">
        <v>127</v>
      </c>
      <c r="R7" s="5" t="s">
        <v>457</v>
      </c>
    </row>
    <row r="8" spans="1:18" x14ac:dyDescent="0.25">
      <c r="A8" s="2" t="str">
        <f>"OG"&amp;TEXT(Table45[[#This Row],[Count]],"000")&amp;"."&amp;IF(Table45[[#This Row],[Category]]="Essential","E",IF(Table45[[#This Row],[Category]]="Discretionary","D","O"))</f>
        <v>OG003.E</v>
      </c>
      <c r="B8" s="2">
        <f>ROW()-ROW(Table45[[#Headers],[Count]])</f>
        <v>3</v>
      </c>
      <c r="C8" s="2" t="s">
        <v>111</v>
      </c>
      <c r="D8" s="5" t="s">
        <v>459</v>
      </c>
      <c r="E8" s="2" t="s">
        <v>13</v>
      </c>
      <c r="O8" s="2" t="s">
        <v>127</v>
      </c>
      <c r="P8" s="2" t="s">
        <v>127</v>
      </c>
      <c r="Q8" s="2" t="s">
        <v>127</v>
      </c>
      <c r="R8" s="5" t="s">
        <v>457</v>
      </c>
    </row>
    <row r="9" spans="1:18" ht="30" x14ac:dyDescent="0.25">
      <c r="A9" s="2" t="str">
        <f>"OG"&amp;TEXT(Table45[[#This Row],[Count]],"000")&amp;"."&amp;IF(Table45[[#This Row],[Category]]="Essential","E",IF(Table45[[#This Row],[Category]]="Discretionary","D","O"))</f>
        <v>OG004.E</v>
      </c>
      <c r="B9" s="2">
        <f>ROW()-ROW(Table45[[#Headers],[Count]])</f>
        <v>4</v>
      </c>
      <c r="C9" s="2" t="s">
        <v>111</v>
      </c>
      <c r="D9" s="5" t="s">
        <v>460</v>
      </c>
      <c r="E9" s="2" t="s">
        <v>13</v>
      </c>
      <c r="O9" s="2" t="s">
        <v>127</v>
      </c>
      <c r="P9" s="2" t="s">
        <v>127</v>
      </c>
      <c r="Q9" s="2" t="s">
        <v>127</v>
      </c>
      <c r="R9" s="5" t="s">
        <v>457</v>
      </c>
    </row>
    <row r="11" spans="1:18" x14ac:dyDescent="0.25">
      <c r="A11" s="58" t="s">
        <v>114</v>
      </c>
      <c r="B11" s="58"/>
      <c r="C11" s="58"/>
      <c r="D11" s="58"/>
      <c r="E11" s="58"/>
      <c r="F11" s="58"/>
      <c r="G11" s="58"/>
      <c r="H11" s="58"/>
      <c r="I11" s="58"/>
      <c r="J11" s="58"/>
      <c r="K11" s="58"/>
      <c r="L11" s="58"/>
      <c r="M11" s="58"/>
      <c r="N11" s="58"/>
      <c r="O11" s="58"/>
      <c r="P11" s="58"/>
      <c r="Q11" s="58"/>
      <c r="R11" s="58"/>
    </row>
    <row r="13" spans="1:18" x14ac:dyDescent="0.25">
      <c r="A13" s="6" t="s">
        <v>120</v>
      </c>
      <c r="B13" s="6" t="s">
        <v>121</v>
      </c>
      <c r="C13" s="6" t="s">
        <v>122</v>
      </c>
      <c r="D13" s="7" t="s">
        <v>123</v>
      </c>
      <c r="E13" s="6" t="s">
        <v>8</v>
      </c>
      <c r="F13" s="6" t="s">
        <v>124</v>
      </c>
      <c r="G13" s="6" t="s">
        <v>154</v>
      </c>
      <c r="H13" s="6" t="s">
        <v>155</v>
      </c>
      <c r="I13" s="6" t="s">
        <v>156</v>
      </c>
      <c r="J13" s="6" t="s">
        <v>157</v>
      </c>
      <c r="K13" s="6" t="s">
        <v>158</v>
      </c>
      <c r="L13" s="6" t="s">
        <v>159</v>
      </c>
      <c r="M13" s="6" t="s">
        <v>160</v>
      </c>
      <c r="N13" s="6" t="s">
        <v>161</v>
      </c>
      <c r="O13" s="6" t="s">
        <v>162</v>
      </c>
      <c r="P13" s="6" t="s">
        <v>163</v>
      </c>
      <c r="Q13" s="6" t="s">
        <v>164</v>
      </c>
      <c r="R13" s="6" t="s">
        <v>125</v>
      </c>
    </row>
    <row r="14" spans="1:18" ht="45" x14ac:dyDescent="0.25">
      <c r="A14" s="5" t="str">
        <f>"OG"&amp;TEXT(Table46[[#This Row],[Count]],"000")&amp;"."&amp;IF(Table46[[#This Row],[Category]]="Essential","E",IF(Table46[[#This Row],[Category]]="Discretionary","D","O"))</f>
        <v>OG005.E</v>
      </c>
      <c r="B14" s="5">
        <f>MAX(Table45[Count])+ROWS(INDEX(Table46[Count],1):Table46[[#This Row],[Count]])</f>
        <v>5</v>
      </c>
      <c r="C14" s="5" t="s">
        <v>114</v>
      </c>
      <c r="D14" s="5" t="s">
        <v>461</v>
      </c>
      <c r="E14" s="5" t="s">
        <v>13</v>
      </c>
      <c r="F14" s="5"/>
      <c r="G14" s="5"/>
      <c r="H14" s="5"/>
      <c r="I14" s="5"/>
      <c r="J14" s="5"/>
      <c r="K14" s="5"/>
      <c r="L14" s="5"/>
      <c r="M14" s="5"/>
      <c r="N14" s="5" t="s">
        <v>127</v>
      </c>
      <c r="O14" s="5" t="s">
        <v>127</v>
      </c>
      <c r="P14" s="5" t="s">
        <v>127</v>
      </c>
      <c r="Q14" s="5"/>
      <c r="R14" s="5" t="s">
        <v>462</v>
      </c>
    </row>
    <row r="15" spans="1:18" ht="45" x14ac:dyDescent="0.25">
      <c r="A15" s="5" t="str">
        <f>"OG"&amp;TEXT(Table46[[#This Row],[Count]],"000")&amp;"."&amp;IF(Table46[[#This Row],[Category]]="Essential","E",IF(Table46[[#This Row],[Category]]="Discretionary","D","O"))</f>
        <v>OG006.E</v>
      </c>
      <c r="B15" s="5">
        <f>MAX(Table45[Count])+ROWS(INDEX(Table46[Count],1):Table46[[#This Row],[Count]])</f>
        <v>6</v>
      </c>
      <c r="C15" s="5" t="s">
        <v>114</v>
      </c>
      <c r="D15" s="5" t="s">
        <v>463</v>
      </c>
      <c r="E15" s="5" t="s">
        <v>13</v>
      </c>
      <c r="F15" s="5"/>
      <c r="G15" s="5"/>
      <c r="H15" s="5"/>
      <c r="I15" s="5"/>
      <c r="J15" s="5"/>
      <c r="K15" s="5"/>
      <c r="L15" s="5"/>
      <c r="M15" s="5"/>
      <c r="N15" s="5" t="s">
        <v>127</v>
      </c>
      <c r="O15" s="5" t="s">
        <v>127</v>
      </c>
      <c r="P15" s="5" t="s">
        <v>127</v>
      </c>
      <c r="Q15" s="5"/>
      <c r="R15" s="5" t="s">
        <v>462</v>
      </c>
    </row>
    <row r="16" spans="1:18" ht="75" x14ac:dyDescent="0.25">
      <c r="A16" s="5" t="str">
        <f>"OG"&amp;TEXT(Table46[[#This Row],[Count]],"000")&amp;"."&amp;IF(Table46[[#This Row],[Category]]="Essential","E",IF(Table46[[#This Row],[Category]]="Discretionary","D","O"))</f>
        <v>OG007.E</v>
      </c>
      <c r="B16" s="5">
        <f>MAX(Table45[Count])+ROWS(INDEX(Table46[Count],1):Table46[[#This Row],[Count]])</f>
        <v>7</v>
      </c>
      <c r="C16" s="5" t="s">
        <v>114</v>
      </c>
      <c r="D16" s="5" t="s">
        <v>464</v>
      </c>
      <c r="E16" s="5" t="s">
        <v>13</v>
      </c>
      <c r="F16" s="5"/>
      <c r="G16" s="5"/>
      <c r="H16" s="5"/>
      <c r="I16" s="5"/>
      <c r="J16" s="5"/>
      <c r="K16" s="5"/>
      <c r="L16" s="5"/>
      <c r="M16" s="5"/>
      <c r="N16" s="5" t="s">
        <v>127</v>
      </c>
      <c r="O16" s="5" t="s">
        <v>127</v>
      </c>
      <c r="P16" s="5" t="s">
        <v>127</v>
      </c>
      <c r="Q16" s="5"/>
      <c r="R16" s="5" t="s">
        <v>462</v>
      </c>
    </row>
    <row r="17" spans="1:18" ht="30" x14ac:dyDescent="0.25">
      <c r="A17" s="5" t="str">
        <f>"OG"&amp;TEXT(Table46[[#This Row],[Count]],"000")&amp;"."&amp;IF(Table46[[#This Row],[Category]]="Essential","E",IF(Table46[[#This Row],[Category]]="Discretionary","D","O"))</f>
        <v>OG008.E</v>
      </c>
      <c r="B17" s="5">
        <f>MAX(Table45[Count])+ROWS(INDEX(Table46[Count],1):Table46[[#This Row],[Count]])</f>
        <v>8</v>
      </c>
      <c r="C17" s="5" t="s">
        <v>114</v>
      </c>
      <c r="D17" s="5" t="s">
        <v>465</v>
      </c>
      <c r="E17" s="5" t="s">
        <v>13</v>
      </c>
      <c r="F17" s="5"/>
      <c r="G17" s="5"/>
      <c r="H17" s="5"/>
      <c r="I17" s="5"/>
      <c r="J17" s="5" t="s">
        <v>127</v>
      </c>
      <c r="K17" s="5" t="s">
        <v>127</v>
      </c>
      <c r="L17" s="5"/>
      <c r="M17" s="5"/>
      <c r="N17" s="5"/>
      <c r="O17" s="5"/>
      <c r="P17" s="5"/>
      <c r="Q17" s="5"/>
      <c r="R17" s="5"/>
    </row>
    <row r="18" spans="1:18" ht="30" x14ac:dyDescent="0.25">
      <c r="A18" s="5" t="str">
        <f>"OG"&amp;TEXT(Table46[[#This Row],[Count]],"000")&amp;"."&amp;IF(Table46[[#This Row],[Category]]="Essential","E",IF(Table46[[#This Row],[Category]]="Discretionary","D","O"))</f>
        <v>OG009.E</v>
      </c>
      <c r="B18" s="5">
        <f>MAX(Table45[Count])+ROWS(INDEX(Table46[Count],1):Table46[[#This Row],[Count]])</f>
        <v>9</v>
      </c>
      <c r="C18" s="5" t="s">
        <v>114</v>
      </c>
      <c r="D18" s="5" t="s">
        <v>466</v>
      </c>
      <c r="E18" s="5" t="s">
        <v>13</v>
      </c>
      <c r="F18" s="5"/>
      <c r="G18" s="5"/>
      <c r="H18" s="5"/>
      <c r="I18" s="5"/>
      <c r="J18" s="5" t="s">
        <v>127</v>
      </c>
      <c r="K18" s="5"/>
      <c r="L18" s="5"/>
      <c r="M18" s="5"/>
      <c r="N18" s="5"/>
      <c r="O18" s="5"/>
      <c r="P18" s="5"/>
      <c r="Q18" s="5"/>
      <c r="R18" s="5" t="s">
        <v>467</v>
      </c>
    </row>
    <row r="19" spans="1:18" x14ac:dyDescent="0.25">
      <c r="A19" s="5" t="str">
        <f>"OG"&amp;TEXT(Table46[[#This Row],[Count]],"000")&amp;"."&amp;IF(Table46[[#This Row],[Category]]="Essential","E",IF(Table46[[#This Row],[Category]]="Discretionary","D","O"))</f>
        <v>OG010.E</v>
      </c>
      <c r="B19" s="5">
        <f>MAX(Table45[Count])+ROWS(INDEX(Table46[Count],1):Table46[[#This Row],[Count]])</f>
        <v>10</v>
      </c>
      <c r="C19" s="5" t="s">
        <v>114</v>
      </c>
      <c r="D19" s="5" t="s">
        <v>468</v>
      </c>
      <c r="E19" s="5" t="s">
        <v>13</v>
      </c>
      <c r="F19" s="5"/>
      <c r="G19" s="5"/>
      <c r="H19" s="5"/>
      <c r="I19" s="5"/>
      <c r="J19" s="5" t="s">
        <v>127</v>
      </c>
      <c r="K19" s="5" t="s">
        <v>127</v>
      </c>
      <c r="L19" s="5"/>
      <c r="M19" s="5"/>
      <c r="N19" s="5"/>
      <c r="O19" s="5"/>
      <c r="P19" s="5"/>
      <c r="Q19" s="5"/>
      <c r="R19" s="5" t="s">
        <v>469</v>
      </c>
    </row>
    <row r="20" spans="1:18" ht="60" x14ac:dyDescent="0.25">
      <c r="A20" s="5" t="str">
        <f>"OG"&amp;TEXT(Table46[[#This Row],[Count]],"000")&amp;"."&amp;IF(Table46[[#This Row],[Category]]="Essential","E",IF(Table46[[#This Row],[Category]]="Discretionary","D","O"))</f>
        <v>OG011.E</v>
      </c>
      <c r="B20" s="5">
        <f>MAX(Table45[Count])+ROWS(INDEX(Table46[Count],1):Table46[[#This Row],[Count]])</f>
        <v>11</v>
      </c>
      <c r="C20" s="5" t="s">
        <v>114</v>
      </c>
      <c r="D20" s="5" t="s">
        <v>470</v>
      </c>
      <c r="E20" s="5" t="s">
        <v>13</v>
      </c>
      <c r="F20" s="5"/>
      <c r="G20" s="5"/>
      <c r="H20" s="5"/>
      <c r="I20" s="5"/>
      <c r="J20" s="5"/>
      <c r="K20" s="5"/>
      <c r="L20" s="5"/>
      <c r="M20" s="5"/>
      <c r="N20" s="5" t="s">
        <v>127</v>
      </c>
      <c r="O20" s="5" t="s">
        <v>127</v>
      </c>
      <c r="P20" s="5" t="s">
        <v>127</v>
      </c>
      <c r="Q20" s="5" t="s">
        <v>127</v>
      </c>
      <c r="R20" s="5" t="s">
        <v>471</v>
      </c>
    </row>
    <row r="21" spans="1:18" ht="60" x14ac:dyDescent="0.25">
      <c r="A21" s="5" t="str">
        <f>"OG"&amp;TEXT(Table46[[#This Row],[Count]],"000")&amp;"."&amp;IF(Table46[[#This Row],[Category]]="Essential","E",IF(Table46[[#This Row],[Category]]="Discretionary","D","O"))</f>
        <v>OG012.E</v>
      </c>
      <c r="B21" s="5">
        <f>MAX(Table45[Count])+ROWS(INDEX(Table46[Count],1):Table46[[#This Row],[Count]])</f>
        <v>12</v>
      </c>
      <c r="C21" s="5" t="s">
        <v>114</v>
      </c>
      <c r="D21" s="5" t="s">
        <v>472</v>
      </c>
      <c r="E21" s="5" t="s">
        <v>13</v>
      </c>
      <c r="F21" s="5"/>
      <c r="G21" s="5"/>
      <c r="H21" s="5"/>
      <c r="I21" s="5"/>
      <c r="J21" s="5"/>
      <c r="K21" s="5"/>
      <c r="L21" s="5"/>
      <c r="M21" s="5"/>
      <c r="N21" s="5" t="s">
        <v>127</v>
      </c>
      <c r="O21" s="5" t="s">
        <v>127</v>
      </c>
      <c r="P21" s="5" t="s">
        <v>127</v>
      </c>
      <c r="Q21" s="5" t="s">
        <v>127</v>
      </c>
      <c r="R21" s="5" t="s">
        <v>473</v>
      </c>
    </row>
    <row r="22" spans="1:18" ht="28.5" customHeight="1" x14ac:dyDescent="0.25">
      <c r="A22" s="5" t="str">
        <f>"OG"&amp;TEXT(Table46[[#This Row],[Count]],"000")&amp;"."&amp;IF(Table46[[#This Row],[Category]]="Essential","E",IF(Table46[[#This Row],[Category]]="Discretionary","D","O"))</f>
        <v>OG013.E</v>
      </c>
      <c r="B22" s="5">
        <f>MAX(Table45[Count])+ROWS(INDEX(Table46[Count],1):Table46[[#This Row],[Count]])</f>
        <v>13</v>
      </c>
      <c r="C22" s="5" t="s">
        <v>474</v>
      </c>
      <c r="D22" s="5" t="s">
        <v>475</v>
      </c>
      <c r="E22" s="5" t="s">
        <v>13</v>
      </c>
      <c r="F22" s="5"/>
      <c r="G22" s="5"/>
      <c r="H22" s="5"/>
      <c r="I22" s="5"/>
      <c r="J22" s="5"/>
      <c r="K22" s="5"/>
      <c r="L22" s="5" t="s">
        <v>127</v>
      </c>
      <c r="M22" s="5" t="s">
        <v>127</v>
      </c>
      <c r="N22" s="5" t="s">
        <v>127</v>
      </c>
      <c r="O22" s="5" t="s">
        <v>127</v>
      </c>
      <c r="P22" s="5" t="s">
        <v>127</v>
      </c>
      <c r="Q22" s="5"/>
      <c r="R22" s="5" t="s">
        <v>476</v>
      </c>
    </row>
    <row r="23" spans="1:18" ht="42.75" customHeight="1" x14ac:dyDescent="0.25">
      <c r="A23" s="5" t="str">
        <f>"OG"&amp;TEXT(Table46[[#This Row],[Count]],"000")&amp;"."&amp;IF(Table46[[#This Row],[Category]]="Essential","E",IF(Table46[[#This Row],[Category]]="Discretionary","D","O"))</f>
        <v>OG014.E</v>
      </c>
      <c r="B23" s="5">
        <f>MAX(Table45[Count])+ROWS(INDEX(Table46[Count],1):Table46[[#This Row],[Count]])</f>
        <v>14</v>
      </c>
      <c r="C23" s="5" t="s">
        <v>114</v>
      </c>
      <c r="D23" s="5" t="s">
        <v>477</v>
      </c>
      <c r="E23" s="5" t="s">
        <v>13</v>
      </c>
      <c r="F23" s="5"/>
      <c r="G23" s="5"/>
      <c r="H23" s="5"/>
      <c r="I23" s="5"/>
      <c r="J23" s="5" t="s">
        <v>127</v>
      </c>
      <c r="K23" s="5" t="s">
        <v>127</v>
      </c>
      <c r="L23" s="5" t="s">
        <v>127</v>
      </c>
      <c r="M23" s="5" t="s">
        <v>127</v>
      </c>
      <c r="N23" s="5" t="s">
        <v>127</v>
      </c>
      <c r="O23" s="5" t="s">
        <v>127</v>
      </c>
      <c r="P23" s="5" t="s">
        <v>127</v>
      </c>
      <c r="Q23" s="5"/>
      <c r="R23" s="5"/>
    </row>
    <row r="24" spans="1:18" ht="45" x14ac:dyDescent="0.25">
      <c r="A24" s="5" t="str">
        <f>"OG"&amp;TEXT(Table46[[#This Row],[Count]],"000")&amp;"."&amp;IF(Table46[[#This Row],[Category]]="Essential","E",IF(Table46[[#This Row],[Category]]="Discretionary","D","O"))</f>
        <v>OG015.E</v>
      </c>
      <c r="B24" s="5">
        <f>MAX(Table45[Count])+ROWS(INDEX(Table46[Count],1):Table46[[#This Row],[Count]])</f>
        <v>15</v>
      </c>
      <c r="C24" s="5" t="s">
        <v>114</v>
      </c>
      <c r="D24" s="5" t="s">
        <v>478</v>
      </c>
      <c r="E24" s="5" t="s">
        <v>13</v>
      </c>
      <c r="F24" s="5"/>
      <c r="G24" s="5"/>
      <c r="H24" s="5"/>
      <c r="I24" s="5"/>
      <c r="J24" s="5"/>
      <c r="K24" s="5"/>
      <c r="L24" s="5"/>
      <c r="M24" s="5"/>
      <c r="N24" s="5" t="s">
        <v>127</v>
      </c>
      <c r="O24" s="5" t="s">
        <v>127</v>
      </c>
      <c r="P24" s="5" t="s">
        <v>127</v>
      </c>
      <c r="Q24" s="5" t="s">
        <v>127</v>
      </c>
      <c r="R24" s="5" t="s">
        <v>462</v>
      </c>
    </row>
    <row r="25" spans="1:18" ht="75" x14ac:dyDescent="0.25">
      <c r="A25" s="5" t="str">
        <f>"OG"&amp;TEXT(Table46[[#This Row],[Count]],"000")&amp;"."&amp;IF(Table46[[#This Row],[Category]]="Essential","E",IF(Table46[[#This Row],[Category]]="Discretionary","D","O"))</f>
        <v>OG016.E</v>
      </c>
      <c r="B25" s="5">
        <f>MAX(Table45[Count])+ROWS(INDEX(Table46[Count],1):Table46[[#This Row],[Count]])</f>
        <v>16</v>
      </c>
      <c r="C25" s="5" t="s">
        <v>114</v>
      </c>
      <c r="D25" s="5" t="s">
        <v>479</v>
      </c>
      <c r="E25" s="5" t="s">
        <v>13</v>
      </c>
      <c r="F25" s="5"/>
      <c r="G25" s="5"/>
      <c r="H25" s="5"/>
      <c r="I25" s="5"/>
      <c r="J25" s="5"/>
      <c r="K25" s="5"/>
      <c r="L25" s="5"/>
      <c r="M25" s="5"/>
      <c r="N25" s="5" t="s">
        <v>127</v>
      </c>
      <c r="O25" s="5" t="s">
        <v>127</v>
      </c>
      <c r="P25" s="5" t="s">
        <v>127</v>
      </c>
      <c r="Q25" s="5" t="s">
        <v>127</v>
      </c>
      <c r="R25" s="5" t="s">
        <v>462</v>
      </c>
    </row>
    <row r="26" spans="1:18" ht="60" x14ac:dyDescent="0.25">
      <c r="A26" s="5" t="str">
        <f>"OG"&amp;TEXT(Table46[[#This Row],[Count]],"000")&amp;"."&amp;IF(Table46[[#This Row],[Category]]="Essential","E",IF(Table46[[#This Row],[Category]]="Discretionary","D","O"))</f>
        <v>OG017.E</v>
      </c>
      <c r="B26" s="5">
        <f>MAX(Table45[Count])+ROWS(INDEX(Table46[Count],1):Table46[[#This Row],[Count]])</f>
        <v>17</v>
      </c>
      <c r="C26" s="5" t="s">
        <v>114</v>
      </c>
      <c r="D26" s="5" t="s">
        <v>480</v>
      </c>
      <c r="E26" s="5" t="s">
        <v>13</v>
      </c>
      <c r="F26" s="5"/>
      <c r="G26" s="5"/>
      <c r="H26" s="5"/>
      <c r="I26" s="5"/>
      <c r="J26" s="5"/>
      <c r="K26" s="5"/>
      <c r="L26" s="5"/>
      <c r="M26" s="5"/>
      <c r="N26" s="5"/>
      <c r="O26" s="5" t="s">
        <v>127</v>
      </c>
      <c r="P26" s="5" t="s">
        <v>127</v>
      </c>
      <c r="Q26" s="5"/>
      <c r="R26" s="5" t="s">
        <v>462</v>
      </c>
    </row>
    <row r="27" spans="1:18" x14ac:dyDescent="0.25">
      <c r="A27" s="5" t="str">
        <f>"OG"&amp;TEXT(Table46[[#This Row],[Count]],"000")&amp;"."&amp;IF(Table46[[#This Row],[Category]]="Essential","E",IF(Table46[[#This Row],[Category]]="Discretionary","D","O"))</f>
        <v>OG018.E</v>
      </c>
      <c r="B27" s="5">
        <f>MAX(Table45[Count])+ROWS(INDEX(Table46[Count],1):Table46[[#This Row],[Count]])</f>
        <v>18</v>
      </c>
      <c r="C27" s="5" t="s">
        <v>114</v>
      </c>
      <c r="D27" s="5" t="s">
        <v>481</v>
      </c>
      <c r="E27" s="5" t="s">
        <v>13</v>
      </c>
      <c r="F27" s="5"/>
      <c r="G27" s="5"/>
      <c r="H27" s="5"/>
      <c r="I27" s="5"/>
      <c r="J27" s="5" t="s">
        <v>127</v>
      </c>
      <c r="K27" s="5" t="s">
        <v>127</v>
      </c>
      <c r="L27" s="5" t="s">
        <v>127</v>
      </c>
      <c r="M27" s="5" t="s">
        <v>127</v>
      </c>
      <c r="N27" s="5" t="s">
        <v>127</v>
      </c>
      <c r="O27" s="5" t="s">
        <v>127</v>
      </c>
      <c r="P27" s="5" t="s">
        <v>127</v>
      </c>
      <c r="Q27" s="5"/>
      <c r="R27" s="5"/>
    </row>
    <row r="28" spans="1:18" ht="45" x14ac:dyDescent="0.25">
      <c r="A28" s="5" t="str">
        <f>"OG"&amp;TEXT(Table46[[#This Row],[Count]],"000")&amp;"."&amp;IF(Table46[[#This Row],[Category]]="Essential","E",IF(Table46[[#This Row],[Category]]="Discretionary","D","O"))</f>
        <v>OG019.E</v>
      </c>
      <c r="B28" s="5">
        <f>MAX(Table45[Count])+ROWS(INDEX(Table46[Count],1):Table46[[#This Row],[Count]])</f>
        <v>19</v>
      </c>
      <c r="C28" s="5" t="s">
        <v>114</v>
      </c>
      <c r="D28" s="5" t="s">
        <v>482</v>
      </c>
      <c r="E28" s="5" t="s">
        <v>13</v>
      </c>
      <c r="F28" s="5"/>
      <c r="G28" s="5"/>
      <c r="H28" s="5"/>
      <c r="I28" s="5"/>
      <c r="J28" s="5"/>
      <c r="K28" s="5"/>
      <c r="L28" s="5"/>
      <c r="M28" s="5"/>
      <c r="N28" s="5" t="s">
        <v>127</v>
      </c>
      <c r="O28" s="5" t="s">
        <v>127</v>
      </c>
      <c r="P28" s="5" t="s">
        <v>127</v>
      </c>
      <c r="Q28" s="5"/>
      <c r="R28" s="5" t="s">
        <v>462</v>
      </c>
    </row>
    <row r="29" spans="1:18" ht="30" x14ac:dyDescent="0.25">
      <c r="A29" s="5" t="str">
        <f>"OG"&amp;TEXT(Table46[[#This Row],[Count]],"000")&amp;"."&amp;IF(Table46[[#This Row],[Category]]="Essential","E",IF(Table46[[#This Row],[Category]]="Discretionary","D","O"))</f>
        <v>OG020.E</v>
      </c>
      <c r="B29" s="5">
        <f>MAX(Table45[Count])+ROWS(INDEX(Table46[Count],1):Table46[[#This Row],[Count]])</f>
        <v>20</v>
      </c>
      <c r="C29" s="5" t="s">
        <v>114</v>
      </c>
      <c r="D29" s="5" t="s">
        <v>483</v>
      </c>
      <c r="E29" s="5" t="s">
        <v>13</v>
      </c>
      <c r="F29" s="5" t="s">
        <v>127</v>
      </c>
      <c r="G29" s="5"/>
      <c r="H29" s="5"/>
      <c r="I29" s="5"/>
      <c r="J29" s="5"/>
      <c r="K29" s="5"/>
      <c r="L29" s="5"/>
      <c r="M29" s="5"/>
      <c r="N29" s="5"/>
      <c r="O29" s="5"/>
      <c r="P29" s="5"/>
      <c r="Q29" s="5"/>
      <c r="R29" s="5" t="s">
        <v>484</v>
      </c>
    </row>
    <row r="30" spans="1:18" x14ac:dyDescent="0.25">
      <c r="A30" s="5" t="str">
        <f>"OG"&amp;TEXT(Table46[[#This Row],[Count]],"000")&amp;"."&amp;IF(Table46[[#This Row],[Category]]="Essential","E",IF(Table46[[#This Row],[Category]]="Discretionary","D","O"))</f>
        <v>OG021.E</v>
      </c>
      <c r="B30" s="5">
        <f>MAX(Table45[Count])+ROWS(INDEX(Table46[Count],1):Table46[[#This Row],[Count]])</f>
        <v>21</v>
      </c>
      <c r="C30" s="5" t="s">
        <v>114</v>
      </c>
      <c r="D30" s="5" t="s">
        <v>485</v>
      </c>
      <c r="E30" s="5" t="s">
        <v>13</v>
      </c>
      <c r="F30" s="5"/>
      <c r="G30" s="5"/>
      <c r="H30" s="5"/>
      <c r="I30" s="5"/>
      <c r="J30" s="5" t="s">
        <v>127</v>
      </c>
      <c r="K30" s="5" t="s">
        <v>127</v>
      </c>
      <c r="L30" s="5" t="s">
        <v>127</v>
      </c>
      <c r="M30" s="5" t="s">
        <v>127</v>
      </c>
      <c r="N30" s="5" t="s">
        <v>127</v>
      </c>
      <c r="O30" s="5" t="s">
        <v>127</v>
      </c>
      <c r="P30" s="5" t="s">
        <v>127</v>
      </c>
      <c r="Q30" s="5"/>
      <c r="R30" s="5" t="s">
        <v>486</v>
      </c>
    </row>
    <row r="31" spans="1:18" ht="45" x14ac:dyDescent="0.25">
      <c r="A31" s="5" t="str">
        <f>"OG"&amp;TEXT(Table46[[#This Row],[Count]],"000")&amp;"."&amp;IF(Table46[[#This Row],[Category]]="Essential","E",IF(Table46[[#This Row],[Category]]="Discretionary","D","O"))</f>
        <v>OG022.E</v>
      </c>
      <c r="B31" s="5">
        <f>MAX(Table45[Count])+ROWS(INDEX(Table46[Count],1):Table46[[#This Row],[Count]])</f>
        <v>22</v>
      </c>
      <c r="C31" s="5" t="s">
        <v>114</v>
      </c>
      <c r="D31" s="5" t="s">
        <v>487</v>
      </c>
      <c r="E31" s="5" t="s">
        <v>13</v>
      </c>
      <c r="F31" s="5"/>
      <c r="G31" s="5"/>
      <c r="H31" s="5"/>
      <c r="I31" s="5"/>
      <c r="J31" s="5"/>
      <c r="K31" s="5"/>
      <c r="L31" s="5"/>
      <c r="M31" s="5" t="s">
        <v>127</v>
      </c>
      <c r="N31" s="5" t="s">
        <v>127</v>
      </c>
      <c r="O31" s="5" t="s">
        <v>127</v>
      </c>
      <c r="P31" s="5" t="s">
        <v>127</v>
      </c>
      <c r="Q31" s="5"/>
      <c r="R31" s="5" t="s">
        <v>462</v>
      </c>
    </row>
    <row r="32" spans="1:18" x14ac:dyDescent="0.25">
      <c r="A32" s="5" t="str">
        <f>"OG"&amp;TEXT(Table46[[#This Row],[Count]],"000")&amp;"."&amp;IF(Table46[[#This Row],[Category]]="Essential","E",IF(Table46[[#This Row],[Category]]="Discretionary","D","O"))</f>
        <v>OG023.E</v>
      </c>
      <c r="B32" s="5">
        <f>MAX(Table45[Count])+ROWS(INDEX(Table46[Count],1):Table46[[#This Row],[Count]])</f>
        <v>23</v>
      </c>
      <c r="C32" s="5" t="s">
        <v>114</v>
      </c>
      <c r="D32" s="5" t="s">
        <v>488</v>
      </c>
      <c r="E32" s="5" t="s">
        <v>13</v>
      </c>
      <c r="F32" s="5"/>
      <c r="G32" s="5"/>
      <c r="H32" s="5"/>
      <c r="I32" s="5"/>
      <c r="J32" s="5"/>
      <c r="K32" s="5" t="s">
        <v>127</v>
      </c>
      <c r="L32" s="5" t="s">
        <v>127</v>
      </c>
      <c r="M32" s="5" t="s">
        <v>127</v>
      </c>
      <c r="N32" s="5" t="s">
        <v>127</v>
      </c>
      <c r="O32" s="5" t="s">
        <v>127</v>
      </c>
      <c r="P32" s="5" t="s">
        <v>127</v>
      </c>
      <c r="Q32" s="5"/>
      <c r="R32" s="5"/>
    </row>
    <row r="33" spans="1:18" ht="60" x14ac:dyDescent="0.25">
      <c r="A33" s="5" t="str">
        <f>"OG"&amp;TEXT(Table46[[#This Row],[Count]],"000")&amp;"."&amp;IF(Table46[[#This Row],[Category]]="Essential","E",IF(Table46[[#This Row],[Category]]="Discretionary","D","O"))</f>
        <v>OG024.E</v>
      </c>
      <c r="B33" s="5">
        <f>MAX(Table45[Count])+ROWS(INDEX(Table46[Count],1):Table46[[#This Row],[Count]])</f>
        <v>24</v>
      </c>
      <c r="C33" s="5" t="s">
        <v>114</v>
      </c>
      <c r="D33" s="5" t="s">
        <v>489</v>
      </c>
      <c r="E33" s="5" t="s">
        <v>13</v>
      </c>
      <c r="F33" s="5"/>
      <c r="G33" s="5"/>
      <c r="H33" s="5"/>
      <c r="I33" s="5"/>
      <c r="J33" s="5"/>
      <c r="K33" s="5"/>
      <c r="L33" s="5"/>
      <c r="M33" s="5"/>
      <c r="N33" s="5"/>
      <c r="O33" s="5" t="s">
        <v>127</v>
      </c>
      <c r="P33" s="5" t="s">
        <v>127</v>
      </c>
      <c r="Q33" s="5"/>
      <c r="R33" s="5" t="s">
        <v>462</v>
      </c>
    </row>
    <row r="34" spans="1:18" ht="45" x14ac:dyDescent="0.25">
      <c r="A34" s="5" t="str">
        <f>"OG"&amp;TEXT(Table46[[#This Row],[Count]],"000")&amp;"."&amp;IF(Table46[[#This Row],[Category]]="Essential","E",IF(Table46[[#This Row],[Category]]="Discretionary","D","O"))</f>
        <v>OG025.E</v>
      </c>
      <c r="B34" s="5">
        <f>MAX(Table45[Count])+ROWS(INDEX(Table46[Count],1):Table46[[#This Row],[Count]])</f>
        <v>25</v>
      </c>
      <c r="C34" s="5" t="s">
        <v>114</v>
      </c>
      <c r="D34" s="5" t="s">
        <v>490</v>
      </c>
      <c r="E34" s="5" t="s">
        <v>13</v>
      </c>
      <c r="F34" s="5"/>
      <c r="G34" s="5"/>
      <c r="H34" s="5"/>
      <c r="I34" s="5"/>
      <c r="J34" s="5"/>
      <c r="K34" s="5"/>
      <c r="L34" s="5"/>
      <c r="M34" s="5"/>
      <c r="N34" s="5" t="s">
        <v>127</v>
      </c>
      <c r="O34" s="5" t="s">
        <v>127</v>
      </c>
      <c r="P34" s="5" t="s">
        <v>127</v>
      </c>
      <c r="Q34" s="5"/>
      <c r="R34" s="5" t="s">
        <v>462</v>
      </c>
    </row>
    <row r="35" spans="1:18" ht="60" x14ac:dyDescent="0.25">
      <c r="A35" s="5" t="str">
        <f>"OG"&amp;TEXT(Table46[[#This Row],[Count]],"000")&amp;"."&amp;IF(Table46[[#This Row],[Category]]="Essential","E",IF(Table46[[#This Row],[Category]]="Discretionary","D","O"))</f>
        <v>OG026.E</v>
      </c>
      <c r="B35" s="5">
        <f>MAX(Table45[Count])+ROWS(INDEX(Table46[Count],1):Table46[[#This Row],[Count]])</f>
        <v>26</v>
      </c>
      <c r="C35" s="5" t="s">
        <v>114</v>
      </c>
      <c r="D35" s="5" t="s">
        <v>491</v>
      </c>
      <c r="E35" s="5" t="s">
        <v>13</v>
      </c>
      <c r="F35" s="5"/>
      <c r="G35" s="5"/>
      <c r="H35" s="5"/>
      <c r="I35" s="5"/>
      <c r="J35" s="5"/>
      <c r="K35" s="5"/>
      <c r="L35" s="5"/>
      <c r="M35" s="5"/>
      <c r="N35" s="5"/>
      <c r="O35" s="5" t="s">
        <v>127</v>
      </c>
      <c r="P35" s="5" t="s">
        <v>127</v>
      </c>
      <c r="Q35" s="5"/>
      <c r="R35" s="5" t="s">
        <v>462</v>
      </c>
    </row>
    <row r="36" spans="1:18" ht="75" x14ac:dyDescent="0.25">
      <c r="A36" s="5" t="str">
        <f>"OG"&amp;TEXT(Table46[[#This Row],[Count]],"000")&amp;"."&amp;IF(Table46[[#This Row],[Category]]="Essential","E",IF(Table46[[#This Row],[Category]]="Discretionary","D","O"))</f>
        <v>OG027.D</v>
      </c>
      <c r="B36" s="5">
        <f>MAX(Table45[Count])+ROWS(INDEX(Table46[Count],1):Table46[[#This Row],[Count]])</f>
        <v>27</v>
      </c>
      <c r="C36" s="5" t="s">
        <v>114</v>
      </c>
      <c r="D36" s="5" t="s">
        <v>492</v>
      </c>
      <c r="E36" s="5" t="s">
        <v>18</v>
      </c>
      <c r="F36" s="5"/>
      <c r="G36" s="5"/>
      <c r="H36" s="5"/>
      <c r="I36" s="5"/>
      <c r="J36" s="5"/>
      <c r="K36" s="5"/>
      <c r="L36" s="5"/>
      <c r="M36" s="5" t="s">
        <v>127</v>
      </c>
      <c r="N36" s="5" t="s">
        <v>127</v>
      </c>
      <c r="O36" s="5" t="s">
        <v>127</v>
      </c>
      <c r="P36" s="5" t="s">
        <v>127</v>
      </c>
      <c r="Q36" s="5"/>
      <c r="R36" s="5"/>
    </row>
    <row r="37" spans="1:18" ht="45" x14ac:dyDescent="0.25">
      <c r="A37" s="5" t="str">
        <f>"OG"&amp;TEXT(Table46[[#This Row],[Count]],"000")&amp;"."&amp;IF(Table46[[#This Row],[Category]]="Essential","E",IF(Table46[[#This Row],[Category]]="Discretionary","D","O"))</f>
        <v>OG028.D</v>
      </c>
      <c r="B37" s="5">
        <f>MAX(Table45[Count])+ROWS(INDEX(Table46[Count],1):Table46[[#This Row],[Count]])</f>
        <v>28</v>
      </c>
      <c r="C37" s="5" t="s">
        <v>114</v>
      </c>
      <c r="D37" s="5" t="s">
        <v>493</v>
      </c>
      <c r="E37" s="5" t="s">
        <v>18</v>
      </c>
      <c r="F37" s="5" t="s">
        <v>127</v>
      </c>
      <c r="G37" s="5"/>
      <c r="H37" s="5"/>
      <c r="I37" s="5"/>
      <c r="J37" s="5"/>
      <c r="K37" s="5"/>
      <c r="L37" s="5"/>
      <c r="M37" s="5"/>
      <c r="N37" s="5"/>
      <c r="O37" s="5"/>
      <c r="P37" s="5"/>
      <c r="Q37" s="5"/>
      <c r="R37" s="5" t="s">
        <v>494</v>
      </c>
    </row>
    <row r="38" spans="1:18" x14ac:dyDescent="0.25">
      <c r="A38" s="5" t="str">
        <f>"OG"&amp;TEXT(Table46[[#This Row],[Count]],"000")&amp;"."&amp;IF(Table46[[#This Row],[Category]]="Essential","E",IF(Table46[[#This Row],[Category]]="Discretionary","D","O"))</f>
        <v>OG029.D</v>
      </c>
      <c r="B38" s="5">
        <f>MAX(Table45[Count])+ROWS(INDEX(Table46[Count],1):Table46[[#This Row],[Count]])</f>
        <v>29</v>
      </c>
      <c r="C38" s="5" t="s">
        <v>114</v>
      </c>
      <c r="D38" s="5" t="s">
        <v>495</v>
      </c>
      <c r="E38" s="5" t="s">
        <v>18</v>
      </c>
      <c r="F38" s="5" t="s">
        <v>127</v>
      </c>
      <c r="G38" s="5"/>
      <c r="H38" s="5"/>
      <c r="I38" s="5"/>
      <c r="J38" s="5"/>
      <c r="K38" s="5"/>
      <c r="L38" s="5"/>
      <c r="M38" s="5"/>
      <c r="N38" s="5"/>
      <c r="O38" s="5"/>
      <c r="P38" s="5"/>
      <c r="Q38" s="5"/>
      <c r="R38" s="5" t="s">
        <v>496</v>
      </c>
    </row>
    <row r="39" spans="1:18" ht="30" x14ac:dyDescent="0.25">
      <c r="A39" s="5" t="str">
        <f>"OG"&amp;TEXT(Table46[[#This Row],[Count]],"000")&amp;"."&amp;IF(Table46[[#This Row],[Category]]="Essential","E",IF(Table46[[#This Row],[Category]]="Discretionary","D","O"))</f>
        <v>OG030.D</v>
      </c>
      <c r="B39" s="5">
        <f>MAX(Table45[Count])+ROWS(INDEX(Table46[Count],1):Table46[[#This Row],[Count]])</f>
        <v>30</v>
      </c>
      <c r="C39" s="5" t="s">
        <v>114</v>
      </c>
      <c r="D39" s="5" t="s">
        <v>497</v>
      </c>
      <c r="E39" s="5" t="s">
        <v>18</v>
      </c>
      <c r="F39" s="5"/>
      <c r="G39" s="5"/>
      <c r="H39" s="5"/>
      <c r="I39" s="5"/>
      <c r="J39" s="5"/>
      <c r="K39" s="5"/>
      <c r="L39" s="5"/>
      <c r="M39" s="5"/>
      <c r="N39" s="5" t="s">
        <v>127</v>
      </c>
      <c r="O39" s="5" t="s">
        <v>127</v>
      </c>
      <c r="P39" s="5" t="s">
        <v>127</v>
      </c>
      <c r="Q39" s="5" t="s">
        <v>127</v>
      </c>
      <c r="R39" s="5"/>
    </row>
    <row r="40" spans="1:18" ht="30" x14ac:dyDescent="0.25">
      <c r="A40" s="5" t="str">
        <f>"OG"&amp;TEXT(Table46[[#This Row],[Count]],"000")&amp;"."&amp;IF(Table46[[#This Row],[Category]]="Essential","E",IF(Table46[[#This Row],[Category]]="Discretionary","D","O"))</f>
        <v>OG031.D</v>
      </c>
      <c r="B40" s="5">
        <f>MAX(Table45[Count])+ROWS(INDEX(Table46[Count],1):Table46[[#This Row],[Count]])</f>
        <v>31</v>
      </c>
      <c r="C40" s="5" t="s">
        <v>114</v>
      </c>
      <c r="D40" s="5" t="s">
        <v>498</v>
      </c>
      <c r="E40" s="5" t="s">
        <v>18</v>
      </c>
      <c r="F40" s="5"/>
      <c r="G40" s="5"/>
      <c r="H40" s="5"/>
      <c r="I40" s="5"/>
      <c r="J40" s="5"/>
      <c r="K40" s="5"/>
      <c r="L40" s="5"/>
      <c r="M40" s="5"/>
      <c r="N40" s="5" t="s">
        <v>127</v>
      </c>
      <c r="O40" s="5" t="s">
        <v>127</v>
      </c>
      <c r="P40" s="5" t="s">
        <v>127</v>
      </c>
      <c r="Q40" s="5" t="s">
        <v>127</v>
      </c>
      <c r="R40" s="5"/>
    </row>
    <row r="41" spans="1:18" ht="30" x14ac:dyDescent="0.25">
      <c r="A41" s="5" t="str">
        <f>"OG"&amp;TEXT(Table46[[#This Row],[Count]],"000")&amp;"."&amp;IF(Table46[[#This Row],[Category]]="Essential","E",IF(Table46[[#This Row],[Category]]="Discretionary","D","O"))</f>
        <v>OG032.E</v>
      </c>
      <c r="B41" s="5">
        <f>MAX(Table45[Count])+ROWS(INDEX(Table46[Count],1):Table46[[#This Row],[Count]])</f>
        <v>32</v>
      </c>
      <c r="C41" s="5" t="s">
        <v>114</v>
      </c>
      <c r="D41" s="5" t="s">
        <v>499</v>
      </c>
      <c r="E41" s="5" t="s">
        <v>13</v>
      </c>
      <c r="F41" s="5"/>
      <c r="G41" s="5"/>
      <c r="H41" s="5"/>
      <c r="I41" s="5"/>
      <c r="J41" s="5"/>
      <c r="K41" s="5"/>
      <c r="L41" s="5" t="s">
        <v>127</v>
      </c>
      <c r="M41" s="5" t="s">
        <v>127</v>
      </c>
      <c r="N41" s="5" t="s">
        <v>127</v>
      </c>
      <c r="O41" s="5" t="s">
        <v>127</v>
      </c>
      <c r="P41" s="5" t="s">
        <v>127</v>
      </c>
      <c r="Q41" s="5" t="s">
        <v>127</v>
      </c>
      <c r="R41" s="5"/>
    </row>
    <row r="42" spans="1:18" ht="30" x14ac:dyDescent="0.25">
      <c r="A42" s="5" t="str">
        <f>"OG"&amp;TEXT(Table46[[#This Row],[Count]],"000")&amp;"."&amp;IF(Table46[[#This Row],[Category]]="Essential","E",IF(Table46[[#This Row],[Category]]="Discretionary","D","O"))</f>
        <v>OG033.E</v>
      </c>
      <c r="B42" s="5">
        <f>MAX(Table45[Count])+ROWS(INDEX(Table46[Count],1):Table46[[#This Row],[Count]])</f>
        <v>33</v>
      </c>
      <c r="C42" s="5" t="s">
        <v>114</v>
      </c>
      <c r="D42" s="5" t="s">
        <v>500</v>
      </c>
      <c r="E42" s="5" t="s">
        <v>13</v>
      </c>
      <c r="F42" s="5"/>
      <c r="G42" s="5"/>
      <c r="H42" s="5"/>
      <c r="I42" s="5"/>
      <c r="J42" s="5"/>
      <c r="K42" s="5"/>
      <c r="L42" s="5" t="s">
        <v>127</v>
      </c>
      <c r="M42" s="5" t="s">
        <v>127</v>
      </c>
      <c r="N42" s="5" t="s">
        <v>127</v>
      </c>
      <c r="O42" s="5" t="s">
        <v>127</v>
      </c>
      <c r="P42" s="5" t="s">
        <v>127</v>
      </c>
      <c r="Q42" s="5"/>
      <c r="R42" s="5"/>
    </row>
    <row r="43" spans="1:18" ht="60" x14ac:dyDescent="0.25">
      <c r="A43" s="5" t="str">
        <f>"OG"&amp;TEXT(Table46[[#This Row],[Count]],"000")&amp;"."&amp;IF(Table46[[#This Row],[Category]]="Essential","E",IF(Table46[[#This Row],[Category]]="Discretionary","D","O"))</f>
        <v>OG034.E</v>
      </c>
      <c r="B43" s="5">
        <f>MAX(Table45[Count])+ROWS(INDEX(Table46[Count],1):Table46[[#This Row],[Count]])</f>
        <v>34</v>
      </c>
      <c r="C43" s="5" t="s">
        <v>114</v>
      </c>
      <c r="D43" s="5" t="s">
        <v>501</v>
      </c>
      <c r="E43" s="5" t="s">
        <v>13</v>
      </c>
      <c r="F43" s="5" t="s">
        <v>127</v>
      </c>
      <c r="G43" s="5"/>
      <c r="H43" s="5"/>
      <c r="I43" s="5"/>
      <c r="J43" s="5"/>
      <c r="K43" s="5"/>
      <c r="L43" s="5"/>
      <c r="M43" s="5"/>
      <c r="N43" s="5"/>
      <c r="O43" s="5"/>
      <c r="P43" s="5"/>
      <c r="Q43" s="5"/>
      <c r="R43" s="5"/>
    </row>
    <row r="44" spans="1:18" ht="30" x14ac:dyDescent="0.25">
      <c r="A44" s="5" t="str">
        <f>"OG"&amp;TEXT(Table46[[#This Row],[Count]],"000")&amp;"."&amp;IF(Table46[[#This Row],[Category]]="Essential","E",IF(Table46[[#This Row],[Category]]="Discretionary","D","O"))</f>
        <v>OG035.D</v>
      </c>
      <c r="B44" s="5">
        <f>MAX(Table45[Count])+ROWS(INDEX(Table46[Count],1):Table46[[#This Row],[Count]])</f>
        <v>35</v>
      </c>
      <c r="C44" s="5" t="s">
        <v>114</v>
      </c>
      <c r="D44" s="5" t="s">
        <v>502</v>
      </c>
      <c r="E44" s="5" t="s">
        <v>18</v>
      </c>
      <c r="F44" s="5" t="s">
        <v>127</v>
      </c>
      <c r="G44" s="5"/>
      <c r="H44" s="5"/>
      <c r="I44" s="5"/>
      <c r="J44" s="5"/>
      <c r="K44" s="5"/>
      <c r="L44" s="5"/>
      <c r="M44" s="5"/>
      <c r="N44" s="5"/>
      <c r="O44" s="5"/>
      <c r="P44" s="5"/>
      <c r="Q44" s="5"/>
      <c r="R44" s="5"/>
    </row>
    <row r="45" spans="1:18" x14ac:dyDescent="0.25">
      <c r="A45" s="5" t="str">
        <f>"OG"&amp;TEXT(Table46[[#This Row],[Count]],"000")&amp;"."&amp;IF(Table46[[#This Row],[Category]]="Essential","E",IF(Table46[[#This Row],[Category]]="Discretionary","D","O"))</f>
        <v>OG036.E</v>
      </c>
      <c r="B45" s="5">
        <f>MAX(Table45[Count])+ROWS(INDEX(Table46[Count],1):Table46[[#This Row],[Count]])</f>
        <v>36</v>
      </c>
      <c r="C45" s="5" t="s">
        <v>114</v>
      </c>
      <c r="D45" s="5" t="s">
        <v>503</v>
      </c>
      <c r="E45" s="5" t="s">
        <v>13</v>
      </c>
      <c r="F45" s="5"/>
      <c r="G45" s="5"/>
      <c r="H45" s="5"/>
      <c r="I45" s="5"/>
      <c r="J45" s="5"/>
      <c r="K45" s="5"/>
      <c r="L45" s="5" t="s">
        <v>127</v>
      </c>
      <c r="M45" s="5" t="s">
        <v>127</v>
      </c>
      <c r="N45" s="5" t="s">
        <v>127</v>
      </c>
      <c r="O45" s="5" t="s">
        <v>127</v>
      </c>
      <c r="P45" s="5" t="s">
        <v>127</v>
      </c>
      <c r="Q45" s="5"/>
      <c r="R45" s="5"/>
    </row>
    <row r="46" spans="1:18" x14ac:dyDescent="0.25">
      <c r="A46" s="5" t="str">
        <f>"OG"&amp;TEXT(Table46[[#This Row],[Count]],"000")&amp;"."&amp;IF(Table46[[#This Row],[Category]]="Essential","E",IF(Table46[[#This Row],[Category]]="Discretionary","D","O"))</f>
        <v>OG037.E</v>
      </c>
      <c r="B46" s="5">
        <f>MAX(Table45[Count])+ROWS(INDEX(Table46[Count],1):Table46[[#This Row],[Count]])</f>
        <v>37</v>
      </c>
      <c r="C46" s="5" t="s">
        <v>114</v>
      </c>
      <c r="D46" s="5" t="s">
        <v>504</v>
      </c>
      <c r="E46" s="5" t="s">
        <v>13</v>
      </c>
      <c r="F46" s="5"/>
      <c r="G46" s="5"/>
      <c r="H46" s="5"/>
      <c r="I46" s="5"/>
      <c r="J46" s="5"/>
      <c r="K46" s="5"/>
      <c r="L46" s="5" t="s">
        <v>127</v>
      </c>
      <c r="M46" s="5" t="s">
        <v>127</v>
      </c>
      <c r="N46" s="5" t="s">
        <v>127</v>
      </c>
      <c r="O46" s="5" t="s">
        <v>127</v>
      </c>
      <c r="P46" s="5" t="s">
        <v>127</v>
      </c>
      <c r="Q46" s="5"/>
      <c r="R46" s="5"/>
    </row>
    <row r="47" spans="1:18" x14ac:dyDescent="0.25">
      <c r="A47" s="5" t="str">
        <f>"OG"&amp;TEXT(Table46[[#This Row],[Count]],"000")&amp;"."&amp;IF(Table46[[#This Row],[Category]]="Essential","E",IF(Table46[[#This Row],[Category]]="Discretionary","D","O"))</f>
        <v>OG038.E</v>
      </c>
      <c r="B47" s="5">
        <f>MAX(Table45[Count])+ROWS(INDEX(Table46[Count],1):Table46[[#This Row],[Count]])</f>
        <v>38</v>
      </c>
      <c r="C47" s="5" t="s">
        <v>114</v>
      </c>
      <c r="D47" s="5" t="s">
        <v>505</v>
      </c>
      <c r="E47" s="5" t="s">
        <v>13</v>
      </c>
      <c r="F47" s="5"/>
      <c r="G47" s="5"/>
      <c r="H47" s="5"/>
      <c r="I47" s="5"/>
      <c r="J47" s="5"/>
      <c r="K47" s="5"/>
      <c r="L47" s="5" t="s">
        <v>127</v>
      </c>
      <c r="M47" s="5" t="s">
        <v>127</v>
      </c>
      <c r="N47" s="5" t="s">
        <v>127</v>
      </c>
      <c r="O47" s="5" t="s">
        <v>127</v>
      </c>
      <c r="P47" s="5" t="s">
        <v>127</v>
      </c>
      <c r="Q47" s="5"/>
      <c r="R47" s="5"/>
    </row>
    <row r="48" spans="1:18" x14ac:dyDescent="0.25">
      <c r="A48" s="5" t="str">
        <f>"OG"&amp;TEXT(Table46[[#This Row],[Count]],"000")&amp;"."&amp;IF(Table46[[#This Row],[Category]]="Essential","E",IF(Table46[[#This Row],[Category]]="Discretionary","D","O"))</f>
        <v>OG039.E</v>
      </c>
      <c r="B48" s="5">
        <f>MAX(Table45[Count])+ROWS(INDEX(Table46[Count],1):Table46[[#This Row],[Count]])</f>
        <v>39</v>
      </c>
      <c r="C48" s="5" t="s">
        <v>114</v>
      </c>
      <c r="D48" s="5" t="s">
        <v>506</v>
      </c>
      <c r="E48" s="5" t="s">
        <v>13</v>
      </c>
      <c r="F48" s="5"/>
      <c r="G48" s="5"/>
      <c r="H48" s="5"/>
      <c r="I48" s="5"/>
      <c r="J48" s="5"/>
      <c r="K48" s="5"/>
      <c r="L48" s="5"/>
      <c r="M48" s="5" t="s">
        <v>127</v>
      </c>
      <c r="N48" s="5" t="s">
        <v>127</v>
      </c>
      <c r="O48" s="5" t="s">
        <v>127</v>
      </c>
      <c r="P48" s="5" t="s">
        <v>127</v>
      </c>
      <c r="Q48" s="5"/>
      <c r="R48" s="5"/>
    </row>
    <row r="49" spans="1:18" ht="30" x14ac:dyDescent="0.25">
      <c r="A49" s="5" t="str">
        <f>"OG"&amp;TEXT(Table46[[#This Row],[Count]],"000")&amp;"."&amp;IF(Table46[[#This Row],[Category]]="Essential","E",IF(Table46[[#This Row],[Category]]="Discretionary","D","O"))</f>
        <v>OG040.D</v>
      </c>
      <c r="B49" s="5">
        <f>MAX(Table45[Count])+ROWS(INDEX(Table46[Count],1):Table46[[#This Row],[Count]])</f>
        <v>40</v>
      </c>
      <c r="C49" s="5" t="s">
        <v>114</v>
      </c>
      <c r="D49" s="5" t="s">
        <v>507</v>
      </c>
      <c r="E49" s="5" t="s">
        <v>18</v>
      </c>
      <c r="F49" s="5"/>
      <c r="G49" s="5"/>
      <c r="H49" s="5"/>
      <c r="I49" s="5"/>
      <c r="J49" s="5"/>
      <c r="K49" s="5"/>
      <c r="L49" s="5"/>
      <c r="M49" s="5" t="s">
        <v>127</v>
      </c>
      <c r="N49" s="5" t="s">
        <v>127</v>
      </c>
      <c r="O49" s="5" t="s">
        <v>127</v>
      </c>
      <c r="P49" s="5" t="s">
        <v>127</v>
      </c>
      <c r="Q49" s="5"/>
      <c r="R49" s="5"/>
    </row>
    <row r="50" spans="1:18" ht="30" x14ac:dyDescent="0.25">
      <c r="A50" s="5" t="str">
        <f>"OG"&amp;TEXT(Table46[[#This Row],[Count]],"000")&amp;"."&amp;IF(Table46[[#This Row],[Category]]="Essential","E",IF(Table46[[#This Row],[Category]]="Discretionary","D","O"))</f>
        <v>OG041.E</v>
      </c>
      <c r="B50" s="5">
        <f>MAX(Table45[Count])+ROWS(INDEX(Table46[Count],1):Table46[[#This Row],[Count]])</f>
        <v>41</v>
      </c>
      <c r="C50" s="5" t="s">
        <v>114</v>
      </c>
      <c r="D50" s="5" t="s">
        <v>508</v>
      </c>
      <c r="E50" s="5" t="s">
        <v>13</v>
      </c>
      <c r="F50" s="5" t="s">
        <v>127</v>
      </c>
      <c r="G50" s="5"/>
      <c r="H50" s="5"/>
      <c r="I50" s="5"/>
      <c r="J50" s="5"/>
      <c r="K50" s="5"/>
      <c r="L50" s="5"/>
      <c r="M50" s="5"/>
      <c r="N50" s="5" t="s">
        <v>127</v>
      </c>
      <c r="O50" s="5" t="s">
        <v>127</v>
      </c>
      <c r="P50" s="5" t="s">
        <v>127</v>
      </c>
      <c r="Q50" s="5"/>
      <c r="R50" s="5"/>
    </row>
    <row r="51" spans="1:18" ht="30" x14ac:dyDescent="0.25">
      <c r="A51" s="5" t="str">
        <f>"OG"&amp;TEXT(Table46[[#This Row],[Count]],"000")&amp;"."&amp;IF(Table46[[#This Row],[Category]]="Essential","E",IF(Table46[[#This Row],[Category]]="Discretionary","D","O"))</f>
        <v>OG042.D</v>
      </c>
      <c r="B51" s="5">
        <f>MAX(Table45[Count])+ROWS(INDEX(Table46[Count],1):Table46[[#This Row],[Count]])</f>
        <v>42</v>
      </c>
      <c r="C51" s="5" t="s">
        <v>114</v>
      </c>
      <c r="D51" s="5" t="s">
        <v>509</v>
      </c>
      <c r="E51" s="5" t="s">
        <v>18</v>
      </c>
      <c r="F51" s="5" t="s">
        <v>127</v>
      </c>
      <c r="G51" s="5"/>
      <c r="H51" s="5"/>
      <c r="I51" s="5"/>
      <c r="J51" s="5"/>
      <c r="K51" s="5"/>
      <c r="L51" s="5"/>
      <c r="M51" s="5"/>
      <c r="N51" s="5" t="s">
        <v>127</v>
      </c>
      <c r="O51" s="5" t="s">
        <v>127</v>
      </c>
      <c r="P51" s="5" t="s">
        <v>127</v>
      </c>
      <c r="Q51" s="5"/>
      <c r="R51" s="5"/>
    </row>
    <row r="52" spans="1:18" x14ac:dyDescent="0.25">
      <c r="A52" s="5" t="str">
        <f>"OG"&amp;TEXT(Table46[[#This Row],[Count]],"000")&amp;"."&amp;IF(Table46[[#This Row],[Category]]="Essential","E",IF(Table46[[#This Row],[Category]]="Discretionary","D","O"))</f>
        <v>OG043.D</v>
      </c>
      <c r="B52" s="5">
        <f>MAX(Table45[Count])+ROWS(INDEX(Table46[Count],1):Table46[[#This Row],[Count]])</f>
        <v>43</v>
      </c>
      <c r="C52" s="5" t="s">
        <v>114</v>
      </c>
      <c r="D52" s="5" t="s">
        <v>510</v>
      </c>
      <c r="E52" s="5" t="s">
        <v>18</v>
      </c>
      <c r="F52" s="5"/>
      <c r="G52" s="5"/>
      <c r="H52" s="5"/>
      <c r="I52" s="5"/>
      <c r="J52" s="5"/>
      <c r="K52" s="5"/>
      <c r="L52" s="5" t="s">
        <v>127</v>
      </c>
      <c r="M52" s="5" t="s">
        <v>127</v>
      </c>
      <c r="N52" s="5" t="s">
        <v>127</v>
      </c>
      <c r="O52" s="5" t="s">
        <v>127</v>
      </c>
      <c r="P52" s="5" t="s">
        <v>127</v>
      </c>
      <c r="Q52" s="5"/>
      <c r="R52" s="5"/>
    </row>
    <row r="53" spans="1:18" ht="45" x14ac:dyDescent="0.25">
      <c r="A53" s="5" t="str">
        <f>"OG"&amp;TEXT(Table46[[#This Row],[Count]],"000")&amp;"."&amp;IF(Table46[[#This Row],[Category]]="Essential","E",IF(Table46[[#This Row],[Category]]="Discretionary","D","O"))</f>
        <v>OG044.E</v>
      </c>
      <c r="B53" s="5">
        <f>MAX(Table45[Count])+ROWS(INDEX(Table46[Count],1):Table46[[#This Row],[Count]])</f>
        <v>44</v>
      </c>
      <c r="C53" s="5" t="s">
        <v>114</v>
      </c>
      <c r="D53" s="5" t="s">
        <v>511</v>
      </c>
      <c r="E53" s="5" t="s">
        <v>13</v>
      </c>
      <c r="F53" s="5"/>
      <c r="G53" s="5"/>
      <c r="H53" s="5"/>
      <c r="I53" s="5"/>
      <c r="J53" s="5"/>
      <c r="K53" s="5"/>
      <c r="L53" s="5"/>
      <c r="M53" s="5" t="s">
        <v>127</v>
      </c>
      <c r="N53" s="5" t="s">
        <v>127</v>
      </c>
      <c r="O53" s="5" t="s">
        <v>127</v>
      </c>
      <c r="P53" s="5" t="s">
        <v>127</v>
      </c>
      <c r="Q53" s="5"/>
      <c r="R53" s="5" t="s">
        <v>462</v>
      </c>
    </row>
    <row r="54" spans="1:18" ht="90" x14ac:dyDescent="0.25">
      <c r="A54" s="5" t="str">
        <f>"OG"&amp;TEXT(Table46[[#This Row],[Count]],"000")&amp;"."&amp;IF(Table46[[#This Row],[Category]]="Essential","E",IF(Table46[[#This Row],[Category]]="Discretionary","D","O"))</f>
        <v>OG045.E</v>
      </c>
      <c r="B54" s="5">
        <f>MAX(Table45[Count])+ROWS(INDEX(Table46[Count],1):Table46[[#This Row],[Count]])</f>
        <v>45</v>
      </c>
      <c r="C54" s="5" t="s">
        <v>114</v>
      </c>
      <c r="D54" s="5" t="s">
        <v>512</v>
      </c>
      <c r="E54" s="5" t="s">
        <v>13</v>
      </c>
      <c r="F54" s="5"/>
      <c r="G54" s="5"/>
      <c r="H54" s="5"/>
      <c r="I54" s="5"/>
      <c r="J54" s="5"/>
      <c r="K54" s="5"/>
      <c r="L54" s="5"/>
      <c r="M54" s="5" t="s">
        <v>127</v>
      </c>
      <c r="N54" s="5" t="s">
        <v>127</v>
      </c>
      <c r="O54" s="5" t="s">
        <v>127</v>
      </c>
      <c r="P54" s="5" t="s">
        <v>127</v>
      </c>
      <c r="Q54" s="5"/>
      <c r="R54" s="5" t="s">
        <v>462</v>
      </c>
    </row>
    <row r="55" spans="1:18" x14ac:dyDescent="0.25">
      <c r="A55" s="5" t="str">
        <f>"OG"&amp;TEXT(Table46[[#This Row],[Count]],"000")&amp;"."&amp;IF(Table46[[#This Row],[Category]]="Essential","E",IF(Table46[[#This Row],[Category]]="Discretionary","D","O"))</f>
        <v>OG046.E</v>
      </c>
      <c r="B55" s="5">
        <f>MAX(Table45[Count])+ROWS(INDEX(Table46[Count],1):Table46[[#This Row],[Count]])</f>
        <v>46</v>
      </c>
      <c r="C55" s="5" t="s">
        <v>114</v>
      </c>
      <c r="D55" s="5" t="s">
        <v>513</v>
      </c>
      <c r="E55" s="5" t="s">
        <v>13</v>
      </c>
      <c r="F55" s="5" t="s">
        <v>127</v>
      </c>
      <c r="G55" s="5"/>
      <c r="H55" s="5"/>
      <c r="I55" s="5"/>
      <c r="J55" s="5"/>
      <c r="K55" s="5"/>
      <c r="L55" s="5"/>
      <c r="M55" s="5"/>
      <c r="N55" s="5"/>
      <c r="O55" s="5"/>
      <c r="P55" s="5"/>
      <c r="Q55" s="5"/>
      <c r="R55" s="5"/>
    </row>
    <row r="56" spans="1:18" ht="30" x14ac:dyDescent="0.25">
      <c r="A56" s="5" t="str">
        <f>"OG"&amp;TEXT(Table46[[#This Row],[Count]],"000")&amp;"."&amp;IF(Table46[[#This Row],[Category]]="Essential","E",IF(Table46[[#This Row],[Category]]="Discretionary","D","O"))</f>
        <v>OG047.E</v>
      </c>
      <c r="B56" s="5">
        <f>MAX(Table45[Count])+ROWS(INDEX(Table46[Count],1):Table46[[#This Row],[Count]])</f>
        <v>47</v>
      </c>
      <c r="C56" s="5" t="s">
        <v>114</v>
      </c>
      <c r="D56" s="5" t="s">
        <v>514</v>
      </c>
      <c r="E56" s="5" t="s">
        <v>13</v>
      </c>
      <c r="F56" s="5" t="s">
        <v>127</v>
      </c>
      <c r="G56" s="5"/>
      <c r="H56" s="5"/>
      <c r="I56" s="5"/>
      <c r="J56" s="5"/>
      <c r="K56" s="5"/>
      <c r="L56" s="5"/>
      <c r="M56" s="5"/>
      <c r="N56" s="5"/>
      <c r="O56" s="5"/>
      <c r="P56" s="5"/>
      <c r="Q56" s="5"/>
      <c r="R56" s="5" t="s">
        <v>515</v>
      </c>
    </row>
    <row r="57" spans="1:18" ht="60" x14ac:dyDescent="0.25">
      <c r="A57" s="5" t="str">
        <f>"OG"&amp;TEXT(Table46[[#This Row],[Count]],"000")&amp;"."&amp;IF(Table46[[#This Row],[Category]]="Essential","E",IF(Table46[[#This Row],[Category]]="Discretionary","D","O"))</f>
        <v>OG048.E</v>
      </c>
      <c r="B57" s="5">
        <f>MAX(Table45[Count])+ROWS(INDEX(Table46[Count],1):Table46[[#This Row],[Count]])</f>
        <v>48</v>
      </c>
      <c r="C57" s="5" t="s">
        <v>114</v>
      </c>
      <c r="D57" s="5" t="s">
        <v>516</v>
      </c>
      <c r="E57" s="5" t="s">
        <v>13</v>
      </c>
      <c r="F57" s="5"/>
      <c r="G57" s="5"/>
      <c r="H57" s="5"/>
      <c r="I57" s="5"/>
      <c r="J57" s="5"/>
      <c r="K57" s="5"/>
      <c r="L57" s="5"/>
      <c r="M57" s="5"/>
      <c r="N57" s="5" t="s">
        <v>127</v>
      </c>
      <c r="O57" s="5" t="s">
        <v>127</v>
      </c>
      <c r="P57" s="5" t="s">
        <v>127</v>
      </c>
      <c r="Q57" s="5"/>
      <c r="R57" s="5" t="s">
        <v>462</v>
      </c>
    </row>
    <row r="58" spans="1:18" ht="60" x14ac:dyDescent="0.25">
      <c r="A58" s="5" t="str">
        <f>"OG"&amp;TEXT(Table46[[#This Row],[Count]],"000")&amp;"."&amp;IF(Table46[[#This Row],[Category]]="Essential","E",IF(Table46[[#This Row],[Category]]="Discretionary","D","O"))</f>
        <v>OG049.E</v>
      </c>
      <c r="B58" s="5">
        <f>MAX(Table45[Count])+ROWS(INDEX(Table46[Count],1):Table46[[#This Row],[Count]])</f>
        <v>49</v>
      </c>
      <c r="C58" s="5" t="s">
        <v>114</v>
      </c>
      <c r="D58" s="5" t="s">
        <v>517</v>
      </c>
      <c r="E58" s="5" t="s">
        <v>13</v>
      </c>
      <c r="F58" s="5"/>
      <c r="G58" s="5"/>
      <c r="H58" s="5"/>
      <c r="I58" s="5"/>
      <c r="J58" s="5"/>
      <c r="K58" s="5"/>
      <c r="L58" s="5"/>
      <c r="M58" s="5"/>
      <c r="N58" s="5" t="s">
        <v>127</v>
      </c>
      <c r="O58" s="5" t="s">
        <v>127</v>
      </c>
      <c r="P58" s="5" t="s">
        <v>127</v>
      </c>
      <c r="Q58" s="5"/>
      <c r="R58" s="5" t="s">
        <v>462</v>
      </c>
    </row>
    <row r="59" spans="1:18" ht="45" x14ac:dyDescent="0.25">
      <c r="A59" s="5" t="str">
        <f>"OG"&amp;TEXT(Table46[[#This Row],[Count]],"000")&amp;"."&amp;IF(Table46[[#This Row],[Category]]="Essential","E",IF(Table46[[#This Row],[Category]]="Discretionary","D","O"))</f>
        <v>OG050.E</v>
      </c>
      <c r="B59" s="5">
        <f>MAX(Table45[Count])+ROWS(INDEX(Table46[Count],1):Table46[[#This Row],[Count]])</f>
        <v>50</v>
      </c>
      <c r="C59" s="5" t="s">
        <v>114</v>
      </c>
      <c r="D59" s="5" t="s">
        <v>518</v>
      </c>
      <c r="E59" s="5" t="s">
        <v>13</v>
      </c>
      <c r="F59" s="5"/>
      <c r="G59" s="5"/>
      <c r="H59" s="5"/>
      <c r="I59" s="5"/>
      <c r="J59" s="5"/>
      <c r="K59" s="5"/>
      <c r="L59" s="5"/>
      <c r="M59" s="5"/>
      <c r="N59" s="5" t="s">
        <v>127</v>
      </c>
      <c r="O59" s="5" t="s">
        <v>127</v>
      </c>
      <c r="P59" s="5" t="s">
        <v>127</v>
      </c>
      <c r="Q59" s="5"/>
      <c r="R59" s="5" t="s">
        <v>462</v>
      </c>
    </row>
    <row r="60" spans="1:18" ht="30" x14ac:dyDescent="0.25">
      <c r="A60" s="5" t="str">
        <f>"OG"&amp;TEXT(Table46[[#This Row],[Count]],"000")&amp;"."&amp;IF(Table46[[#This Row],[Category]]="Essential","E",IF(Table46[[#This Row],[Category]]="Discretionary","D","O"))</f>
        <v>OG051.E</v>
      </c>
      <c r="B60" s="5">
        <f>MAX(Table45[Count])+ROWS(INDEX(Table46[Count],1):Table46[[#This Row],[Count]])</f>
        <v>51</v>
      </c>
      <c r="C60" s="5" t="s">
        <v>114</v>
      </c>
      <c r="D60" s="5" t="s">
        <v>519</v>
      </c>
      <c r="E60" s="5" t="s">
        <v>13</v>
      </c>
      <c r="F60" s="5"/>
      <c r="G60" s="5"/>
      <c r="H60" s="5"/>
      <c r="I60" s="5"/>
      <c r="J60" s="5" t="s">
        <v>127</v>
      </c>
      <c r="K60" s="5" t="s">
        <v>127</v>
      </c>
      <c r="L60" s="5" t="s">
        <v>127</v>
      </c>
      <c r="M60" s="5"/>
      <c r="N60" s="5"/>
      <c r="O60" s="5"/>
      <c r="P60" s="5"/>
      <c r="Q60" s="5"/>
      <c r="R60" s="5" t="s">
        <v>520</v>
      </c>
    </row>
    <row r="61" spans="1:18" x14ac:dyDescent="0.25">
      <c r="A61" s="5" t="str">
        <f>"OG"&amp;TEXT(Table46[[#This Row],[Count]],"000")&amp;"."&amp;IF(Table46[[#This Row],[Category]]="Essential","E",IF(Table46[[#This Row],[Category]]="Discretionary","D","O"))</f>
        <v>OG052.D</v>
      </c>
      <c r="B61" s="5">
        <f>MAX(Table45[Count])+ROWS(INDEX(Table46[Count],1):Table46[[#This Row],[Count]])</f>
        <v>52</v>
      </c>
      <c r="C61" s="5" t="s">
        <v>114</v>
      </c>
      <c r="D61" s="5" t="s">
        <v>521</v>
      </c>
      <c r="E61" s="5" t="s">
        <v>18</v>
      </c>
      <c r="F61" s="5" t="s">
        <v>127</v>
      </c>
      <c r="G61" s="5"/>
      <c r="H61" s="5"/>
      <c r="I61" s="5"/>
      <c r="J61" s="5"/>
      <c r="K61" s="5"/>
      <c r="L61" s="5"/>
      <c r="M61" s="5"/>
      <c r="N61" s="5"/>
      <c r="O61" s="5"/>
      <c r="P61" s="5"/>
      <c r="Q61" s="5"/>
      <c r="R61" s="5"/>
    </row>
    <row r="62" spans="1:18" x14ac:dyDescent="0.25">
      <c r="A62" s="5" t="str">
        <f>"OG"&amp;TEXT(Table46[[#This Row],[Count]],"000")&amp;"."&amp;IF(Table46[[#This Row],[Category]]="Essential","E",IF(Table46[[#This Row],[Category]]="Discretionary","D","O"))</f>
        <v>OG053.E</v>
      </c>
      <c r="B62" s="5">
        <f>MAX(Table45[Count])+ROWS(INDEX(Table46[Count],1):Table46[[#This Row],[Count]])</f>
        <v>53</v>
      </c>
      <c r="C62" s="5" t="s">
        <v>114</v>
      </c>
      <c r="D62" s="5" t="s">
        <v>522</v>
      </c>
      <c r="E62" s="5" t="s">
        <v>13</v>
      </c>
      <c r="F62" s="5" t="s">
        <v>127</v>
      </c>
      <c r="G62" s="5"/>
      <c r="H62" s="5"/>
      <c r="I62" s="5"/>
      <c r="J62" s="5"/>
      <c r="K62" s="5"/>
      <c r="L62" s="5"/>
      <c r="M62" s="5"/>
      <c r="N62" s="5"/>
      <c r="O62" s="5"/>
      <c r="P62" s="5"/>
      <c r="Q62" s="5"/>
      <c r="R62" s="5"/>
    </row>
    <row r="63" spans="1:18" x14ac:dyDescent="0.25">
      <c r="A63" s="5" t="str">
        <f>"OG"&amp;TEXT(Table46[[#This Row],[Count]],"000")&amp;"."&amp;IF(Table46[[#This Row],[Category]]="Essential","E",IF(Table46[[#This Row],[Category]]="Discretionary","D","O"))</f>
        <v>OG054.E</v>
      </c>
      <c r="B63" s="5">
        <f>MAX(Table45[Count])+ROWS(INDEX(Table46[Count],1):Table46[[#This Row],[Count]])</f>
        <v>54</v>
      </c>
      <c r="C63" s="5" t="s">
        <v>114</v>
      </c>
      <c r="D63" s="5" t="s">
        <v>523</v>
      </c>
      <c r="E63" s="5" t="s">
        <v>13</v>
      </c>
      <c r="F63" s="5" t="s">
        <v>127</v>
      </c>
      <c r="G63" s="5"/>
      <c r="H63" s="5"/>
      <c r="I63" s="5"/>
      <c r="J63" s="5"/>
      <c r="K63" s="5"/>
      <c r="L63" s="5"/>
      <c r="M63" s="5"/>
      <c r="N63" s="5"/>
      <c r="O63" s="5"/>
      <c r="P63" s="5"/>
      <c r="Q63" s="5"/>
      <c r="R63" s="5"/>
    </row>
    <row r="64" spans="1:18" x14ac:dyDescent="0.25">
      <c r="A64" s="5" t="str">
        <f>"OG"&amp;TEXT(Table46[[#This Row],[Count]],"000")&amp;"."&amp;IF(Table46[[#This Row],[Category]]="Essential","E",IF(Table46[[#This Row],[Category]]="Discretionary","D","O"))</f>
        <v>OG055.E</v>
      </c>
      <c r="B64" s="5">
        <f>MAX(Table45[Count])+ROWS(INDEX(Table46[Count],1):Table46[[#This Row],[Count]])</f>
        <v>55</v>
      </c>
      <c r="C64" s="5" t="s">
        <v>114</v>
      </c>
      <c r="D64" s="5" t="s">
        <v>524</v>
      </c>
      <c r="E64" s="5" t="s">
        <v>13</v>
      </c>
      <c r="F64" s="5" t="s">
        <v>127</v>
      </c>
      <c r="G64" s="5"/>
      <c r="H64" s="5"/>
      <c r="I64" s="5"/>
      <c r="J64" s="5"/>
      <c r="K64" s="5"/>
      <c r="L64" s="5"/>
      <c r="M64" s="5"/>
      <c r="N64" s="5"/>
      <c r="O64" s="5"/>
      <c r="P64" s="5"/>
      <c r="Q64" s="5"/>
      <c r="R64" s="5"/>
    </row>
    <row r="65" spans="1:18" ht="30" x14ac:dyDescent="0.25">
      <c r="A65" s="5" t="str">
        <f>"OG"&amp;TEXT(Table46[[#This Row],[Count]],"000")&amp;"."&amp;IF(Table46[[#This Row],[Category]]="Essential","E",IF(Table46[[#This Row],[Category]]="Discretionary","D","O"))</f>
        <v>OG056.E</v>
      </c>
      <c r="B65" s="5">
        <f>MAX(Table45[Count])+ROWS(INDEX(Table46[Count],1):Table46[[#This Row],[Count]])</f>
        <v>56</v>
      </c>
      <c r="C65" s="5" t="s">
        <v>114</v>
      </c>
      <c r="D65" s="5" t="s">
        <v>525</v>
      </c>
      <c r="E65" s="5" t="s">
        <v>13</v>
      </c>
      <c r="F65" s="5" t="s">
        <v>127</v>
      </c>
      <c r="G65" s="5"/>
      <c r="H65" s="5"/>
      <c r="I65" s="5"/>
      <c r="J65" s="5"/>
      <c r="K65" s="5"/>
      <c r="L65" s="5"/>
      <c r="M65" s="5"/>
      <c r="N65" s="5"/>
      <c r="O65" s="5"/>
      <c r="P65" s="5"/>
      <c r="Q65" s="5"/>
      <c r="R65" s="5"/>
    </row>
    <row r="66" spans="1:18" ht="30" x14ac:dyDescent="0.25">
      <c r="A66" s="5" t="str">
        <f>"OG"&amp;TEXT(Table46[[#This Row],[Count]],"000")&amp;"."&amp;IF(Table46[[#This Row],[Category]]="Essential","E",IF(Table46[[#This Row],[Category]]="Discretionary","D","O"))</f>
        <v>OG057.E</v>
      </c>
      <c r="B66" s="5">
        <f>MAX(Table45[Count])+ROWS(INDEX(Table46[Count],1):Table46[[#This Row],[Count]])</f>
        <v>57</v>
      </c>
      <c r="C66" s="5" t="s">
        <v>114</v>
      </c>
      <c r="D66" s="5" t="s">
        <v>526</v>
      </c>
      <c r="E66" s="5" t="s">
        <v>13</v>
      </c>
      <c r="F66" s="5"/>
      <c r="G66" s="5"/>
      <c r="H66" s="5"/>
      <c r="I66" s="5"/>
      <c r="J66" s="5"/>
      <c r="K66" s="5" t="s">
        <v>127</v>
      </c>
      <c r="L66" s="5" t="s">
        <v>127</v>
      </c>
      <c r="M66" s="5"/>
      <c r="N66" s="5"/>
      <c r="O66" s="5"/>
      <c r="P66" s="5"/>
      <c r="Q66" s="5"/>
      <c r="R66" s="5" t="s">
        <v>467</v>
      </c>
    </row>
    <row r="67" spans="1:18" ht="30" x14ac:dyDescent="0.25">
      <c r="A67" s="5" t="str">
        <f>"OG"&amp;TEXT(Table46[[#This Row],[Count]],"000")&amp;"."&amp;IF(Table46[[#This Row],[Category]]="Essential","E",IF(Table46[[#This Row],[Category]]="Discretionary","D","O"))</f>
        <v>OG058.D</v>
      </c>
      <c r="B67" s="5">
        <f>MAX(Table45[Count])+ROWS(INDEX(Table46[Count],1):Table46[[#This Row],[Count]])</f>
        <v>58</v>
      </c>
      <c r="C67" s="5" t="s">
        <v>114</v>
      </c>
      <c r="D67" s="5" t="s">
        <v>527</v>
      </c>
      <c r="E67" s="5" t="s">
        <v>18</v>
      </c>
      <c r="F67" s="5" t="s">
        <v>127</v>
      </c>
      <c r="G67" s="5"/>
      <c r="H67" s="5"/>
      <c r="I67" s="5"/>
      <c r="J67" s="5"/>
      <c r="K67" s="5"/>
      <c r="L67" s="5"/>
      <c r="M67" s="5"/>
      <c r="N67" s="5"/>
      <c r="O67" s="5"/>
      <c r="P67" s="5"/>
      <c r="Q67" s="5"/>
      <c r="R67" s="5"/>
    </row>
    <row r="68" spans="1:18" x14ac:dyDescent="0.25">
      <c r="A68" s="5" t="str">
        <f>"OG"&amp;TEXT(Table46[[#This Row],[Count]],"000")&amp;"."&amp;IF(Table46[[#This Row],[Category]]="Essential","E",IF(Table46[[#This Row],[Category]]="Discretionary","D","O"))</f>
        <v>OG059.D</v>
      </c>
      <c r="B68" s="5">
        <f>MAX(Table45[Count])+ROWS(INDEX(Table46[Count],1):Table46[[#This Row],[Count]])</f>
        <v>59</v>
      </c>
      <c r="C68" s="5" t="s">
        <v>114</v>
      </c>
      <c r="D68" s="5" t="s">
        <v>528</v>
      </c>
      <c r="E68" s="5" t="s">
        <v>18</v>
      </c>
      <c r="F68" s="5" t="s">
        <v>127</v>
      </c>
      <c r="G68" s="5"/>
      <c r="H68" s="5"/>
      <c r="I68" s="5"/>
      <c r="J68" s="5"/>
      <c r="K68" s="5"/>
      <c r="L68" s="5"/>
      <c r="M68" s="5"/>
      <c r="N68" s="5"/>
      <c r="O68" s="5"/>
      <c r="P68" s="5"/>
      <c r="Q68" s="5"/>
      <c r="R68" s="5"/>
    </row>
    <row r="69" spans="1:18" x14ac:dyDescent="0.25">
      <c r="A69" s="5" t="str">
        <f>"OG"&amp;TEXT(Table46[[#This Row],[Count]],"000")&amp;"."&amp;IF(Table46[[#This Row],[Category]]="Essential","E",IF(Table46[[#This Row],[Category]]="Discretionary","D","O"))</f>
        <v>OG060.E</v>
      </c>
      <c r="B69" s="5">
        <f>MAX(Table45[Count])+ROWS(INDEX(Table46[Count],1):Table46[[#This Row],[Count]])</f>
        <v>60</v>
      </c>
      <c r="C69" s="5" t="s">
        <v>114</v>
      </c>
      <c r="D69" s="5" t="s">
        <v>529</v>
      </c>
      <c r="E69" s="5" t="s">
        <v>13</v>
      </c>
      <c r="F69" s="5"/>
      <c r="G69" s="5"/>
      <c r="H69" s="5"/>
      <c r="I69" s="5"/>
      <c r="J69" s="5"/>
      <c r="K69" s="5" t="s">
        <v>127</v>
      </c>
      <c r="L69" s="5"/>
      <c r="M69" s="5"/>
      <c r="N69" s="5"/>
      <c r="O69" s="5"/>
      <c r="P69" s="5"/>
      <c r="Q69" s="5"/>
      <c r="R69" s="5" t="s">
        <v>530</v>
      </c>
    </row>
    <row r="70" spans="1:18" ht="45" x14ac:dyDescent="0.25">
      <c r="A70" s="5" t="str">
        <f>"OG"&amp;TEXT(Table46[[#This Row],[Count]],"000")&amp;"."&amp;IF(Table46[[#This Row],[Category]]="Essential","E",IF(Table46[[#This Row],[Category]]="Discretionary","D","O"))</f>
        <v>OG061.E</v>
      </c>
      <c r="B70" s="5">
        <f>MAX(Table45[Count])+ROWS(INDEX(Table46[Count],1):Table46[[#This Row],[Count]])</f>
        <v>61</v>
      </c>
      <c r="C70" s="5" t="s">
        <v>114</v>
      </c>
      <c r="D70" s="5" t="s">
        <v>531</v>
      </c>
      <c r="E70" s="5" t="s">
        <v>13</v>
      </c>
      <c r="F70" s="5"/>
      <c r="G70" s="5"/>
      <c r="H70" s="5"/>
      <c r="I70" s="5"/>
      <c r="J70" s="5"/>
      <c r="K70" s="5"/>
      <c r="L70" s="5"/>
      <c r="M70" s="5" t="s">
        <v>127</v>
      </c>
      <c r="N70" s="5" t="s">
        <v>127</v>
      </c>
      <c r="O70" s="5" t="s">
        <v>127</v>
      </c>
      <c r="P70" s="5" t="s">
        <v>127</v>
      </c>
      <c r="Q70" s="5"/>
      <c r="R70" s="5"/>
    </row>
    <row r="71" spans="1:18" ht="45" x14ac:dyDescent="0.25">
      <c r="A71" s="5" t="str">
        <f>"OG"&amp;TEXT(Table46[[#This Row],[Count]],"000")&amp;"."&amp;IF(Table46[[#This Row],[Category]]="Essential","E",IF(Table46[[#This Row],[Category]]="Discretionary","D","O"))</f>
        <v>OG062.E</v>
      </c>
      <c r="B71" s="5">
        <f>MAX(Table45[Count])+ROWS(INDEX(Table46[Count],1):Table46[[#This Row],[Count]])</f>
        <v>62</v>
      </c>
      <c r="C71" s="5" t="s">
        <v>114</v>
      </c>
      <c r="D71" s="5" t="s">
        <v>532</v>
      </c>
      <c r="E71" s="5" t="s">
        <v>13</v>
      </c>
      <c r="F71" s="5"/>
      <c r="G71" s="5"/>
      <c r="H71" s="5"/>
      <c r="I71" s="5"/>
      <c r="J71" s="5"/>
      <c r="K71" s="5"/>
      <c r="L71" s="5"/>
      <c r="M71" s="5"/>
      <c r="N71" s="5" t="s">
        <v>127</v>
      </c>
      <c r="O71" s="5" t="s">
        <v>127</v>
      </c>
      <c r="P71" s="5" t="s">
        <v>127</v>
      </c>
      <c r="Q71" s="5"/>
      <c r="R71" s="5" t="s">
        <v>462</v>
      </c>
    </row>
    <row r="72" spans="1:18" ht="45" x14ac:dyDescent="0.25">
      <c r="A72" s="5" t="str">
        <f>"OG"&amp;TEXT(Table46[[#This Row],[Count]],"000")&amp;"."&amp;IF(Table46[[#This Row],[Category]]="Essential","E",IF(Table46[[#This Row],[Category]]="Discretionary","D","O"))</f>
        <v>OG063.E</v>
      </c>
      <c r="B72" s="5">
        <f>MAX(Table45[Count])+ROWS(INDEX(Table46[Count],1):Table46[[#This Row],[Count]])</f>
        <v>63</v>
      </c>
      <c r="C72" s="5" t="s">
        <v>114</v>
      </c>
      <c r="D72" s="5" t="s">
        <v>533</v>
      </c>
      <c r="E72" s="5" t="s">
        <v>13</v>
      </c>
      <c r="F72" s="5"/>
      <c r="G72" s="5"/>
      <c r="H72" s="5"/>
      <c r="I72" s="5"/>
      <c r="J72" s="5"/>
      <c r="K72" s="5"/>
      <c r="L72" s="5"/>
      <c r="M72" s="5"/>
      <c r="N72" s="5"/>
      <c r="O72" s="5" t="s">
        <v>127</v>
      </c>
      <c r="P72" s="5" t="s">
        <v>127</v>
      </c>
      <c r="Q72" s="5"/>
      <c r="R72" s="5" t="s">
        <v>462</v>
      </c>
    </row>
    <row r="73" spans="1:18" ht="60" x14ac:dyDescent="0.25">
      <c r="A73" s="5" t="str">
        <f>"OG"&amp;TEXT(Table46[[#This Row],[Count]],"000")&amp;"."&amp;IF(Table46[[#This Row],[Category]]="Essential","E",IF(Table46[[#This Row],[Category]]="Discretionary","D","O"))</f>
        <v>OG064.E</v>
      </c>
      <c r="B73" s="5">
        <f>MAX(Table45[Count])+ROWS(INDEX(Table46[Count],1):Table46[[#This Row],[Count]])</f>
        <v>64</v>
      </c>
      <c r="C73" s="5" t="s">
        <v>114</v>
      </c>
      <c r="D73" s="5" t="s">
        <v>534</v>
      </c>
      <c r="E73" s="28" t="s">
        <v>13</v>
      </c>
      <c r="F73" s="5"/>
      <c r="G73" s="5"/>
      <c r="H73" s="5"/>
      <c r="I73" s="5"/>
      <c r="J73" s="5"/>
      <c r="K73" s="5"/>
      <c r="L73" s="5"/>
      <c r="M73" s="5" t="s">
        <v>127</v>
      </c>
      <c r="N73" s="5" t="s">
        <v>127</v>
      </c>
      <c r="O73" s="5" t="s">
        <v>127</v>
      </c>
      <c r="P73" s="5" t="s">
        <v>127</v>
      </c>
      <c r="Q73" s="5"/>
      <c r="R73" s="5" t="s">
        <v>462</v>
      </c>
    </row>
    <row r="74" spans="1:18" ht="30" x14ac:dyDescent="0.25">
      <c r="A74" s="5" t="str">
        <f>"OG"&amp;TEXT(Table46[[#This Row],[Count]],"000")&amp;"."&amp;IF(Table46[[#This Row],[Category]]="Essential","E",IF(Table46[[#This Row],[Category]]="Discretionary","D","O"))</f>
        <v>OG065.D</v>
      </c>
      <c r="B74" s="5">
        <f>MAX(Table45[Count])+ROWS(INDEX(Table46[Count],1):Table46[[#This Row],[Count]])</f>
        <v>65</v>
      </c>
      <c r="C74" s="5" t="s">
        <v>114</v>
      </c>
      <c r="D74" s="5" t="s">
        <v>535</v>
      </c>
      <c r="E74" s="28" t="s">
        <v>18</v>
      </c>
      <c r="F74" s="5"/>
      <c r="G74" s="5"/>
      <c r="H74" s="5"/>
      <c r="I74" s="5"/>
      <c r="J74" s="5"/>
      <c r="K74" s="5"/>
      <c r="L74" s="5"/>
      <c r="M74" s="5"/>
      <c r="N74" s="5" t="s">
        <v>127</v>
      </c>
      <c r="O74" s="5" t="s">
        <v>127</v>
      </c>
      <c r="P74" s="5" t="s">
        <v>127</v>
      </c>
      <c r="Q74" s="5"/>
      <c r="R74" s="5"/>
    </row>
    <row r="75" spans="1:18" x14ac:dyDescent="0.25">
      <c r="A75" s="5" t="str">
        <f>"OG"&amp;TEXT(Table46[[#This Row],[Count]],"000")&amp;"."&amp;IF(Table46[[#This Row],[Category]]="Essential","E",IF(Table46[[#This Row],[Category]]="Discretionary","D","O"))</f>
        <v>OG066.E</v>
      </c>
      <c r="B75" s="5">
        <f>MAX(Table45[Count])+ROWS(INDEX(Table46[Count],1):Table46[[#This Row],[Count]])</f>
        <v>66</v>
      </c>
      <c r="C75" s="24" t="s">
        <v>114</v>
      </c>
      <c r="D75" s="24" t="s">
        <v>536</v>
      </c>
      <c r="E75" s="29" t="s">
        <v>13</v>
      </c>
      <c r="F75" s="29" t="s">
        <v>127</v>
      </c>
      <c r="G75" s="24"/>
      <c r="H75" s="24"/>
      <c r="I75" s="24"/>
      <c r="J75" s="24"/>
      <c r="K75" s="24"/>
      <c r="L75" s="24"/>
      <c r="M75" s="24"/>
      <c r="N75" s="24"/>
      <c r="O75" s="24"/>
      <c r="P75" s="24"/>
      <c r="Q75" s="24"/>
      <c r="R75" s="24"/>
    </row>
    <row r="76" spans="1:18" ht="30" x14ac:dyDescent="0.25">
      <c r="A76" s="5" t="str">
        <f>"OG"&amp;TEXT(Table46[[#This Row],[Count]],"000")&amp;"."&amp;IF(Table46[[#This Row],[Category]]="Essential","E",IF(Table46[[#This Row],[Category]]="Discretionary","D","O"))</f>
        <v>OG067.E</v>
      </c>
      <c r="B76" s="5">
        <f>MAX(Table45[Count])+ROWS(INDEX(Table46[Count],1):Table46[[#This Row],[Count]])</f>
        <v>67</v>
      </c>
      <c r="C76" s="24" t="s">
        <v>114</v>
      </c>
      <c r="D76" s="24" t="s">
        <v>499</v>
      </c>
      <c r="E76" s="29" t="s">
        <v>13</v>
      </c>
      <c r="F76" s="29"/>
      <c r="G76" s="29"/>
      <c r="H76" s="29"/>
      <c r="I76" s="29"/>
      <c r="J76" s="29"/>
      <c r="K76" s="29"/>
      <c r="L76" s="29" t="s">
        <v>127</v>
      </c>
      <c r="M76" s="29" t="s">
        <v>127</v>
      </c>
      <c r="N76" s="29" t="s">
        <v>127</v>
      </c>
      <c r="O76" s="29" t="s">
        <v>127</v>
      </c>
      <c r="P76" s="29" t="s">
        <v>127</v>
      </c>
      <c r="Q76" s="29" t="s">
        <v>127</v>
      </c>
      <c r="R76" s="29"/>
    </row>
    <row r="77" spans="1:18" ht="45" x14ac:dyDescent="0.25">
      <c r="A77" s="5" t="str">
        <f>"OG"&amp;TEXT(Table46[[#This Row],[Count]],"000")&amp;"."&amp;IF(Table46[[#This Row],[Category]]="Essential","E",IF(Table46[[#This Row],[Category]]="Discretionary","D","O"))</f>
        <v>OG068.E</v>
      </c>
      <c r="B77" s="5">
        <f>MAX(Table45[Count])+ROWS(INDEX(Table46[Count],1):Table46[[#This Row],[Count]])</f>
        <v>68</v>
      </c>
      <c r="C77" s="24" t="s">
        <v>114</v>
      </c>
      <c r="D77" s="24" t="s">
        <v>537</v>
      </c>
      <c r="E77" s="24" t="s">
        <v>13</v>
      </c>
      <c r="F77" s="24"/>
      <c r="G77" s="24"/>
      <c r="H77" s="24"/>
      <c r="I77" s="24"/>
      <c r="J77" s="24"/>
      <c r="K77" s="24"/>
      <c r="L77" s="24" t="s">
        <v>127</v>
      </c>
      <c r="M77" s="24" t="s">
        <v>127</v>
      </c>
      <c r="N77" s="24" t="s">
        <v>127</v>
      </c>
      <c r="O77" s="24" t="s">
        <v>127</v>
      </c>
      <c r="P77" s="24" t="s">
        <v>127</v>
      </c>
      <c r="Q77" s="24"/>
      <c r="R77" s="24"/>
    </row>
  </sheetData>
  <mergeCells count="4">
    <mergeCell ref="A1:R1"/>
    <mergeCell ref="A3:R3"/>
    <mergeCell ref="A11:R11"/>
    <mergeCell ref="A2:R2"/>
  </mergeCells>
  <phoneticPr fontId="3" type="noConversion"/>
  <conditionalFormatting sqref="E6:E9 E14:E77">
    <cfRule type="containsText" dxfId="181" priority="118" operator="containsText" text="Discretionary">
      <formula>NOT(ISERROR(SEARCH("Discretionary",E6)))</formula>
    </cfRule>
    <cfRule type="containsText" dxfId="180" priority="119" operator="containsText" text="Essential">
      <formula>NOT(ISERROR(SEARCH("Essential",E6)))</formula>
    </cfRule>
  </conditionalFormatting>
  <conditionalFormatting sqref="E10:E13 E80:E487">
    <cfRule type="containsText" dxfId="179" priority="121" operator="containsText" text="Other">
      <formula>NOT(ISERROR(SEARCH("Other",E10)))</formula>
    </cfRule>
    <cfRule type="containsText" dxfId="178" priority="123" operator="containsText" text="Discretionary">
      <formula>NOT(ISERROR(SEARCH("Discretionary",E10)))</formula>
    </cfRule>
    <cfRule type="containsText" dxfId="177" priority="124" operator="containsText" text="Essential">
      <formula>NOT(ISERROR(SEARCH("Essential",E10)))</formula>
    </cfRule>
  </conditionalFormatting>
  <conditionalFormatting sqref="E14:E77 E6:E9">
    <cfRule type="containsText" dxfId="176" priority="117" operator="containsText" text="Other">
      <formula>NOT(ISERROR(SEARCH("Other",E6)))</formula>
    </cfRule>
  </conditionalFormatting>
  <conditionalFormatting sqref="E75:E77">
    <cfRule type="containsText" dxfId="175" priority="65" operator="containsText" text="Other">
      <formula>NOT(ISERROR(SEARCH("Other",E75)))</formula>
    </cfRule>
    <cfRule type="containsText" dxfId="174" priority="66" operator="containsText" text="Discretionary">
      <formula>NOT(ISERROR(SEARCH("Discretionary",E75)))</formula>
    </cfRule>
    <cfRule type="containsText" dxfId="173" priority="67" operator="containsText" text="Essential">
      <formula>NOT(ISERROR(SEARCH("Essential",E75)))</formula>
    </cfRule>
  </conditionalFormatting>
  <conditionalFormatting sqref="E10:P10 E12:P12 E80:P686 E75:P77 F13:Q77">
    <cfRule type="containsText" dxfId="172" priority="125" operator="containsText" text="x">
      <formula>NOT(ISERROR(SEARCH("x",E10)))</formula>
    </cfRule>
  </conditionalFormatting>
  <conditionalFormatting sqref="F6:Q9">
    <cfRule type="containsText" dxfId="171" priority="120" operator="containsText" text="x">
      <formula>NOT(ISERROR(SEARCH("x",F6)))</formula>
    </cfRule>
  </conditionalFormatting>
  <dataValidations count="1">
    <dataValidation type="list" allowBlank="1" showInputMessage="1" showErrorMessage="1" sqref="E6:E9 E14:E77" xr:uid="{DCE7B16F-F64D-4AE8-BB90-F2F238D7E0AF}">
      <formula1>Cats</formula1>
    </dataValidation>
  </dataValidations>
  <pageMargins left="0.7" right="0.7" top="0.75" bottom="0.75" header="0.3" footer="0.3"/>
  <pageSetup paperSize="9" scale="48" fitToHeight="0" orientation="landscape" r:id="rId1"/>
  <headerFooter>
    <oddFooter>&amp;C&amp;P</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F8CEB-977D-4BA3-B8DB-E958CDB0DE98}">
  <sheetPr>
    <pageSetUpPr fitToPage="1"/>
  </sheetPr>
  <dimension ref="A1:R701"/>
  <sheetViews>
    <sheetView view="pageLayout" topLeftCell="A41" zoomScaleNormal="100" workbookViewId="0">
      <selection activeCell="U102" sqref="U102"/>
    </sheetView>
  </sheetViews>
  <sheetFormatPr defaultRowHeight="15" x14ac:dyDescent="0.25"/>
  <cols>
    <col min="1" max="1" width="19.42578125" style="2" bestFit="1" customWidth="1"/>
    <col min="2" max="2" width="10.5703125" style="2" hidden="1" customWidth="1"/>
    <col min="3" max="3" width="25" style="5" customWidth="1"/>
    <col min="4" max="4" width="37.42578125" style="5" customWidth="1"/>
    <col min="5" max="5" width="13.7109375" style="2" bestFit="1" customWidth="1"/>
    <col min="6" max="16" width="9.140625" style="2"/>
    <col min="17" max="17" width="9.140625" style="5" customWidth="1"/>
    <col min="18" max="18" width="68.5703125" style="5" customWidth="1"/>
  </cols>
  <sheetData>
    <row r="1" spans="1:18" ht="31.5" x14ac:dyDescent="0.5">
      <c r="A1" s="57" t="s">
        <v>29</v>
      </c>
      <c r="B1" s="57"/>
      <c r="C1" s="57"/>
      <c r="D1" s="57"/>
      <c r="E1" s="57"/>
      <c r="F1" s="57"/>
      <c r="G1" s="57"/>
      <c r="H1" s="57"/>
      <c r="I1" s="57"/>
      <c r="J1" s="57"/>
      <c r="K1" s="57"/>
      <c r="L1" s="57"/>
      <c r="M1" s="57"/>
      <c r="N1" s="57"/>
      <c r="O1" s="57"/>
      <c r="P1" s="57"/>
      <c r="Q1" s="57"/>
      <c r="R1" s="57"/>
    </row>
    <row r="2" spans="1:18" ht="50.25" customHeight="1" x14ac:dyDescent="0.25">
      <c r="A2" s="59" t="s">
        <v>152</v>
      </c>
      <c r="B2" s="59"/>
      <c r="C2" s="59"/>
      <c r="D2" s="59"/>
      <c r="E2" s="59"/>
      <c r="F2" s="59"/>
      <c r="G2" s="59"/>
      <c r="H2" s="59"/>
      <c r="I2" s="59"/>
      <c r="J2" s="59"/>
      <c r="K2" s="59"/>
      <c r="L2" s="59"/>
      <c r="M2" s="59"/>
      <c r="N2" s="59"/>
      <c r="O2" s="59"/>
      <c r="P2" s="59"/>
      <c r="Q2" s="59"/>
      <c r="R2" s="59"/>
    </row>
    <row r="3" spans="1:18" x14ac:dyDescent="0.25">
      <c r="A3" s="58" t="s">
        <v>32</v>
      </c>
      <c r="B3" s="58"/>
      <c r="C3" s="58"/>
      <c r="D3" s="58"/>
      <c r="E3" s="58"/>
      <c r="F3" s="58"/>
      <c r="G3" s="58"/>
      <c r="H3" s="58"/>
      <c r="I3" s="58"/>
      <c r="J3" s="58"/>
      <c r="K3" s="58"/>
      <c r="L3" s="58"/>
      <c r="M3" s="58"/>
      <c r="N3" s="58"/>
      <c r="O3" s="58"/>
      <c r="P3" s="58"/>
      <c r="Q3" s="58"/>
      <c r="R3" s="58"/>
    </row>
    <row r="5" spans="1:18" x14ac:dyDescent="0.25">
      <c r="A5" s="4" t="s">
        <v>120</v>
      </c>
      <c r="B5" s="4" t="s">
        <v>121</v>
      </c>
      <c r="C5" s="4" t="s">
        <v>122</v>
      </c>
      <c r="D5" s="4" t="s">
        <v>123</v>
      </c>
      <c r="E5" s="4" t="s">
        <v>8</v>
      </c>
      <c r="F5" s="4" t="s">
        <v>124</v>
      </c>
      <c r="G5" s="4" t="s">
        <v>154</v>
      </c>
      <c r="H5" s="4" t="s">
        <v>155</v>
      </c>
      <c r="I5" s="4" t="s">
        <v>156</v>
      </c>
      <c r="J5" s="4" t="s">
        <v>157</v>
      </c>
      <c r="K5" s="4" t="s">
        <v>158</v>
      </c>
      <c r="L5" s="4" t="s">
        <v>159</v>
      </c>
      <c r="M5" s="4" t="s">
        <v>160</v>
      </c>
      <c r="N5" s="4" t="s">
        <v>161</v>
      </c>
      <c r="O5" s="4" t="s">
        <v>162</v>
      </c>
      <c r="P5" s="4" t="s">
        <v>163</v>
      </c>
      <c r="Q5" s="4" t="s">
        <v>164</v>
      </c>
      <c r="R5" s="4" t="s">
        <v>125</v>
      </c>
    </row>
    <row r="6" spans="1:18" ht="45" x14ac:dyDescent="0.25">
      <c r="A6" s="2" t="str">
        <f>"MED"&amp;TEXT(Table13[[#This Row],[Count]],"000")&amp;"."&amp;IF(Table13[[#This Row],[Category]]="Essential","E",IF(Table13[[#This Row],[Category]]="Discretionary","D","O"))</f>
        <v>MED001.E</v>
      </c>
      <c r="B6" s="2">
        <f>ROW()-ROW(Table13[[#Headers],[Count]])</f>
        <v>1</v>
      </c>
      <c r="C6" s="5" t="s">
        <v>32</v>
      </c>
      <c r="D6" s="5" t="s">
        <v>538</v>
      </c>
      <c r="E6" s="2" t="s">
        <v>13</v>
      </c>
      <c r="F6" s="2" t="s">
        <v>127</v>
      </c>
      <c r="Q6" s="2"/>
    </row>
    <row r="7" spans="1:18" ht="45" x14ac:dyDescent="0.25">
      <c r="A7" s="2" t="str">
        <f>"MED"&amp;TEXT(Table13[[#This Row],[Count]],"000")&amp;"."&amp;IF(Table13[[#This Row],[Category]]="Essential","E",IF(Table13[[#This Row],[Category]]="Discretionary","D","O"))</f>
        <v>MED002.E</v>
      </c>
      <c r="B7" s="2">
        <f>ROW()-ROW(Table13[[#Headers],[Count]])</f>
        <v>2</v>
      </c>
      <c r="C7" s="5" t="s">
        <v>32</v>
      </c>
      <c r="D7" s="5" t="s">
        <v>539</v>
      </c>
      <c r="E7" s="2" t="s">
        <v>13</v>
      </c>
      <c r="F7" s="2" t="s">
        <v>127</v>
      </c>
      <c r="Q7" s="2"/>
    </row>
    <row r="8" spans="1:18" ht="30" x14ac:dyDescent="0.25">
      <c r="A8" s="2" t="str">
        <f>"MED"&amp;TEXT(Table13[[#This Row],[Count]],"000")&amp;"."&amp;IF(Table13[[#This Row],[Category]]="Essential","E",IF(Table13[[#This Row],[Category]]="Discretionary","D","O"))</f>
        <v>MED003.E</v>
      </c>
      <c r="B8" s="2">
        <f>ROW()-ROW(Table13[[#Headers],[Count]])</f>
        <v>3</v>
      </c>
      <c r="C8" s="5" t="s">
        <v>32</v>
      </c>
      <c r="D8" s="5" t="s">
        <v>540</v>
      </c>
      <c r="E8" s="2" t="s">
        <v>13</v>
      </c>
      <c r="F8" s="2" t="s">
        <v>127</v>
      </c>
      <c r="Q8" s="2"/>
    </row>
    <row r="9" spans="1:18" ht="75" x14ac:dyDescent="0.25">
      <c r="A9" s="2" t="str">
        <f>"MED"&amp;TEXT(Table13[[#This Row],[Count]],"000")&amp;"."&amp;IF(Table13[[#This Row],[Category]]="Essential","E",IF(Table13[[#This Row],[Category]]="Discretionary","D","O"))</f>
        <v>MED004.E</v>
      </c>
      <c r="B9" s="2">
        <f>ROW()-ROW(Table13[[#Headers],[Count]])</f>
        <v>4</v>
      </c>
      <c r="C9" s="5" t="s">
        <v>32</v>
      </c>
      <c r="D9" s="5" t="s">
        <v>541</v>
      </c>
      <c r="E9" s="2" t="s">
        <v>13</v>
      </c>
      <c r="F9" s="2" t="s">
        <v>127</v>
      </c>
      <c r="Q9" s="2"/>
      <c r="R9" s="5" t="s">
        <v>542</v>
      </c>
    </row>
    <row r="10" spans="1:18" ht="30" x14ac:dyDescent="0.25">
      <c r="A10" s="2" t="str">
        <f>"MED"&amp;TEXT(Table13[[#This Row],[Count]],"000")&amp;"."&amp;IF(Table13[[#This Row],[Category]]="Essential","E",IF(Table13[[#This Row],[Category]]="Discretionary","D","O"))</f>
        <v>MED005.E</v>
      </c>
      <c r="B10" s="2">
        <f>ROW()-ROW(Table13[[#Headers],[Count]])</f>
        <v>5</v>
      </c>
      <c r="C10" s="5" t="s">
        <v>32</v>
      </c>
      <c r="D10" s="5" t="s">
        <v>543</v>
      </c>
      <c r="E10" s="2" t="s">
        <v>13</v>
      </c>
      <c r="F10" s="2" t="s">
        <v>127</v>
      </c>
      <c r="Q10" s="2"/>
      <c r="R10" s="5" t="s">
        <v>544</v>
      </c>
    </row>
    <row r="11" spans="1:18" x14ac:dyDescent="0.25">
      <c r="A11" s="2" t="str">
        <f>"MED"&amp;TEXT(Table13[[#This Row],[Count]],"000")&amp;"."&amp;IF(Table13[[#This Row],[Category]]="Essential","E",IF(Table13[[#This Row],[Category]]="Discretionary","D","O"))</f>
        <v>MED006.E</v>
      </c>
      <c r="B11" s="2">
        <f>ROW()-ROW(Table13[[#Headers],[Count]])</f>
        <v>6</v>
      </c>
      <c r="C11" s="5" t="s">
        <v>32</v>
      </c>
      <c r="D11" s="5" t="s">
        <v>545</v>
      </c>
      <c r="E11" s="2" t="s">
        <v>13</v>
      </c>
      <c r="F11" s="2" t="s">
        <v>127</v>
      </c>
      <c r="Q11" s="2"/>
    </row>
    <row r="13" spans="1:18" x14ac:dyDescent="0.25">
      <c r="A13" s="58" t="s">
        <v>546</v>
      </c>
      <c r="B13" s="58"/>
      <c r="C13" s="58"/>
      <c r="D13" s="58"/>
      <c r="E13" s="58"/>
      <c r="F13" s="58"/>
      <c r="G13" s="58"/>
      <c r="H13" s="58"/>
      <c r="I13" s="58"/>
      <c r="J13" s="58"/>
      <c r="K13" s="58"/>
      <c r="L13" s="58"/>
      <c r="M13" s="58"/>
      <c r="N13" s="58"/>
      <c r="O13" s="58"/>
      <c r="P13" s="58"/>
      <c r="Q13" s="58"/>
      <c r="R13" s="58"/>
    </row>
    <row r="15" spans="1:18" x14ac:dyDescent="0.25">
      <c r="A15" s="6" t="s">
        <v>120</v>
      </c>
      <c r="B15" s="6" t="s">
        <v>121</v>
      </c>
      <c r="C15" s="7" t="s">
        <v>122</v>
      </c>
      <c r="D15" s="7" t="s">
        <v>123</v>
      </c>
      <c r="E15" s="6" t="s">
        <v>8</v>
      </c>
      <c r="F15" s="6" t="s">
        <v>124</v>
      </c>
      <c r="G15" s="6" t="s">
        <v>154</v>
      </c>
      <c r="H15" s="6" t="s">
        <v>155</v>
      </c>
      <c r="I15" s="6" t="s">
        <v>156</v>
      </c>
      <c r="J15" s="6" t="s">
        <v>157</v>
      </c>
      <c r="K15" s="6" t="s">
        <v>158</v>
      </c>
      <c r="L15" s="6" t="s">
        <v>159</v>
      </c>
      <c r="M15" s="6" t="s">
        <v>160</v>
      </c>
      <c r="N15" s="6" t="s">
        <v>161</v>
      </c>
      <c r="O15" s="6" t="s">
        <v>162</v>
      </c>
      <c r="P15" s="6" t="s">
        <v>163</v>
      </c>
      <c r="Q15" s="6" t="s">
        <v>164</v>
      </c>
      <c r="R15" s="7" t="s">
        <v>125</v>
      </c>
    </row>
    <row r="16" spans="1:18" ht="45" x14ac:dyDescent="0.25">
      <c r="A16" s="5" t="str">
        <f>"MED"&amp;TEXT(Table14[[#This Row],[Count]],"000")&amp;"."&amp;IF(Table14[[#This Row],[Category]]="Essential","E",IF(Table14[[#This Row],[Category]]="Discretionary","D","O"))</f>
        <v>MED007.E</v>
      </c>
      <c r="B16" s="5">
        <f>MAX(Table13[Count])+ROWS(INDEX(Table14[Count],1):Table14[[#This Row],[Count]])</f>
        <v>7</v>
      </c>
      <c r="C16" s="5" t="s">
        <v>546</v>
      </c>
      <c r="D16" s="5" t="s">
        <v>547</v>
      </c>
      <c r="E16" s="44" t="s">
        <v>13</v>
      </c>
      <c r="F16" s="5" t="s">
        <v>127</v>
      </c>
      <c r="G16" s="5"/>
      <c r="H16" s="5"/>
      <c r="I16" s="5"/>
      <c r="J16" s="5"/>
      <c r="K16" s="5"/>
      <c r="L16" s="5"/>
      <c r="M16" s="5"/>
      <c r="N16" s="5"/>
      <c r="O16" s="5"/>
      <c r="P16" s="5"/>
      <c r="R16" s="5" t="s">
        <v>548</v>
      </c>
    </row>
    <row r="17" spans="1:18" ht="30" x14ac:dyDescent="0.25">
      <c r="A17" s="5" t="str">
        <f>"MED"&amp;TEXT(Table14[[#This Row],[Count]],"000")&amp;"."&amp;IF(Table14[[#This Row],[Category]]="Essential","E",IF(Table14[[#This Row],[Category]]="Discretionary","D","O"))</f>
        <v>MED008.E</v>
      </c>
      <c r="B17" s="5">
        <f>MAX(Table13[Count])+ROWS(INDEX(Table14[Count],1):Table14[[#This Row],[Count]])</f>
        <v>8</v>
      </c>
      <c r="C17" s="5" t="s">
        <v>546</v>
      </c>
      <c r="D17" s="5" t="s">
        <v>549</v>
      </c>
      <c r="E17" s="45" t="s">
        <v>13</v>
      </c>
      <c r="F17" s="5" t="s">
        <v>127</v>
      </c>
      <c r="G17" s="5"/>
      <c r="H17" s="5"/>
      <c r="I17" s="5"/>
      <c r="J17" s="5"/>
      <c r="K17" s="5"/>
      <c r="L17" s="5"/>
      <c r="M17" s="5"/>
      <c r="N17" s="5"/>
      <c r="O17" s="5"/>
      <c r="P17" s="5"/>
    </row>
    <row r="18" spans="1:18" ht="30" x14ac:dyDescent="0.25">
      <c r="A18" s="5" t="str">
        <f>"MED"&amp;TEXT(Table14[[#This Row],[Count]],"000")&amp;"."&amp;IF(Table14[[#This Row],[Category]]="Essential","E",IF(Table14[[#This Row],[Category]]="Discretionary","D","O"))</f>
        <v>MED009.E</v>
      </c>
      <c r="B18" s="5">
        <f>MAX(Table13[Count])+ROWS(INDEX(Table14[Count],1):Table14[[#This Row],[Count]])</f>
        <v>9</v>
      </c>
      <c r="C18" s="5" t="s">
        <v>546</v>
      </c>
      <c r="D18" s="5" t="s">
        <v>550</v>
      </c>
      <c r="E18" s="44" t="s">
        <v>13</v>
      </c>
      <c r="F18" s="5" t="s">
        <v>127</v>
      </c>
      <c r="G18" s="5"/>
      <c r="H18" s="5"/>
      <c r="I18" s="5"/>
      <c r="J18" s="5"/>
      <c r="K18" s="5"/>
      <c r="L18" s="5"/>
      <c r="M18" s="5"/>
      <c r="N18" s="5"/>
      <c r="O18" s="5"/>
      <c r="P18" s="5"/>
    </row>
    <row r="19" spans="1:18" ht="30" x14ac:dyDescent="0.25">
      <c r="A19" s="5" t="str">
        <f>"MED"&amp;TEXT(Table14[[#This Row],[Count]],"000")&amp;"."&amp;IF(Table14[[#This Row],[Category]]="Essential","E",IF(Table14[[#This Row],[Category]]="Discretionary","D","O"))</f>
        <v>MED010.E</v>
      </c>
      <c r="B19" s="5">
        <f>MAX(Table13[Count])+ROWS(INDEX(Table14[Count],1):Table14[[#This Row],[Count]])</f>
        <v>10</v>
      </c>
      <c r="C19" s="5" t="s">
        <v>546</v>
      </c>
      <c r="D19" s="5" t="s">
        <v>551</v>
      </c>
      <c r="E19" s="45" t="s">
        <v>13</v>
      </c>
      <c r="F19" s="5" t="s">
        <v>127</v>
      </c>
      <c r="G19" s="5"/>
      <c r="H19" s="5"/>
      <c r="I19" s="5"/>
      <c r="J19" s="5"/>
      <c r="K19" s="5"/>
      <c r="L19" s="5"/>
      <c r="M19" s="5"/>
      <c r="N19" s="5"/>
      <c r="O19" s="5"/>
      <c r="P19" s="5"/>
    </row>
    <row r="20" spans="1:18" ht="30" x14ac:dyDescent="0.25">
      <c r="A20" s="5" t="str">
        <f>"MED"&amp;TEXT(Table14[[#This Row],[Count]],"000")&amp;"."&amp;IF(Table14[[#This Row],[Category]]="Essential","E",IF(Table14[[#This Row],[Category]]="Discretionary","D","O"))</f>
        <v>MED011.E</v>
      </c>
      <c r="B20" s="5">
        <f>MAX(Table13[Count])+ROWS(INDEX(Table14[Count],1):Table14[[#This Row],[Count]])</f>
        <v>11</v>
      </c>
      <c r="C20" s="5" t="s">
        <v>546</v>
      </c>
      <c r="D20" s="5" t="s">
        <v>552</v>
      </c>
      <c r="E20" s="44" t="s">
        <v>13</v>
      </c>
      <c r="F20" s="5" t="s">
        <v>127</v>
      </c>
      <c r="G20" s="5"/>
      <c r="H20" s="5"/>
      <c r="I20" s="5"/>
      <c r="J20" s="5"/>
      <c r="K20" s="5"/>
      <c r="L20" s="5"/>
      <c r="M20" s="5"/>
      <c r="N20" s="5"/>
      <c r="O20" s="5"/>
      <c r="P20" s="5"/>
    </row>
    <row r="21" spans="1:18" ht="30" x14ac:dyDescent="0.25">
      <c r="A21" s="5" t="str">
        <f>"MED"&amp;TEXT(Table14[[#This Row],[Count]],"000")&amp;"."&amp;IF(Table14[[#This Row],[Category]]="Essential","E",IF(Table14[[#This Row],[Category]]="Discretionary","D","O"))</f>
        <v>MED012.E</v>
      </c>
      <c r="B21" s="5">
        <f>MAX(Table13[Count])+ROWS(INDEX(Table14[Count],1):Table14[[#This Row],[Count]])</f>
        <v>12</v>
      </c>
      <c r="C21" s="5" t="s">
        <v>546</v>
      </c>
      <c r="D21" s="5" t="s">
        <v>553</v>
      </c>
      <c r="E21" s="45" t="s">
        <v>13</v>
      </c>
      <c r="F21" s="5" t="s">
        <v>127</v>
      </c>
      <c r="G21" s="5"/>
      <c r="H21" s="5"/>
      <c r="I21" s="5"/>
      <c r="J21" s="5"/>
      <c r="K21" s="5"/>
      <c r="L21" s="5"/>
      <c r="M21" s="5"/>
      <c r="N21" s="5"/>
      <c r="O21" s="5"/>
      <c r="P21" s="5"/>
    </row>
    <row r="22" spans="1:18" ht="30" x14ac:dyDescent="0.25">
      <c r="A22" s="5" t="str">
        <f>"MED"&amp;TEXT(Table14[[#This Row],[Count]],"000")&amp;"."&amp;IF(Table14[[#This Row],[Category]]="Essential","E",IF(Table14[[#This Row],[Category]]="Discretionary","D","O"))</f>
        <v>MED013.E</v>
      </c>
      <c r="B22" s="5">
        <f>MAX(Table13[Count])+ROWS(INDEX(Table14[Count],1):Table14[[#This Row],[Count]])</f>
        <v>13</v>
      </c>
      <c r="C22" s="5" t="s">
        <v>546</v>
      </c>
      <c r="D22" s="5" t="s">
        <v>554</v>
      </c>
      <c r="E22" s="44" t="s">
        <v>13</v>
      </c>
      <c r="F22" s="5" t="s">
        <v>127</v>
      </c>
      <c r="G22" s="5"/>
      <c r="H22" s="5"/>
      <c r="I22" s="5"/>
      <c r="J22" s="5"/>
      <c r="K22" s="5"/>
      <c r="L22" s="5"/>
      <c r="M22" s="5"/>
      <c r="N22" s="5"/>
      <c r="O22" s="5"/>
      <c r="P22" s="5"/>
    </row>
    <row r="23" spans="1:18" ht="30" x14ac:dyDescent="0.25">
      <c r="A23" s="5" t="str">
        <f>"MED"&amp;TEXT(Table14[[#This Row],[Count]],"000")&amp;"."&amp;IF(Table14[[#This Row],[Category]]="Essential","E",IF(Table14[[#This Row],[Category]]="Discretionary","D","O"))</f>
        <v>MED014.E</v>
      </c>
      <c r="B23" s="5">
        <f>MAX(Table13[Count])+ROWS(INDEX(Table14[Count],1):Table14[[#This Row],[Count]])</f>
        <v>14</v>
      </c>
      <c r="C23" s="5" t="s">
        <v>546</v>
      </c>
      <c r="D23" s="5" t="s">
        <v>555</v>
      </c>
      <c r="E23" s="45" t="s">
        <v>13</v>
      </c>
      <c r="F23" s="5" t="s">
        <v>127</v>
      </c>
      <c r="G23" s="5"/>
      <c r="H23" s="5"/>
      <c r="I23" s="5"/>
      <c r="J23" s="5"/>
      <c r="K23" s="5"/>
      <c r="L23" s="5"/>
      <c r="M23" s="5"/>
      <c r="N23" s="5"/>
      <c r="O23" s="5"/>
      <c r="P23" s="5"/>
    </row>
    <row r="24" spans="1:18" ht="30" x14ac:dyDescent="0.25">
      <c r="A24" s="5" t="str">
        <f>"MED"&amp;TEXT(Table14[[#This Row],[Count]],"000")&amp;"."&amp;IF(Table14[[#This Row],[Category]]="Essential","E",IF(Table14[[#This Row],[Category]]="Discretionary","D","O"))</f>
        <v>MED015.E</v>
      </c>
      <c r="B24" s="5">
        <f>MAX(Table13[Count])+ROWS(INDEX(Table14[Count],1):Table14[[#This Row],[Count]])</f>
        <v>15</v>
      </c>
      <c r="C24" s="5" t="s">
        <v>546</v>
      </c>
      <c r="D24" s="5" t="s">
        <v>556</v>
      </c>
      <c r="E24" s="44" t="s">
        <v>13</v>
      </c>
      <c r="F24" s="5" t="s">
        <v>127</v>
      </c>
      <c r="G24" s="5"/>
      <c r="H24" s="5"/>
      <c r="I24" s="5"/>
      <c r="J24" s="5"/>
      <c r="K24" s="5"/>
      <c r="L24" s="5"/>
      <c r="M24" s="5"/>
      <c r="N24" s="5"/>
      <c r="O24" s="5"/>
      <c r="P24" s="5"/>
      <c r="R24" s="5" t="s">
        <v>557</v>
      </c>
    </row>
    <row r="25" spans="1:18" ht="30" x14ac:dyDescent="0.25">
      <c r="A25" s="5" t="str">
        <f>"MED"&amp;TEXT(Table14[[#This Row],[Count]],"000")&amp;"."&amp;IF(Table14[[#This Row],[Category]]="Essential","E",IF(Table14[[#This Row],[Category]]="Discretionary","D","O"))</f>
        <v>MED016.E</v>
      </c>
      <c r="B25" s="5">
        <f>MAX(Table13[Count])+ROWS(INDEX(Table14[Count],1):Table14[[#This Row],[Count]])</f>
        <v>16</v>
      </c>
      <c r="C25" s="5" t="s">
        <v>546</v>
      </c>
      <c r="D25" s="5" t="s">
        <v>558</v>
      </c>
      <c r="E25" s="45" t="s">
        <v>13</v>
      </c>
      <c r="F25" s="5" t="s">
        <v>127</v>
      </c>
      <c r="G25" s="5"/>
      <c r="H25" s="5"/>
      <c r="I25" s="5"/>
      <c r="J25" s="5"/>
      <c r="K25" s="5"/>
      <c r="L25" s="5"/>
      <c r="M25" s="5"/>
      <c r="N25" s="5"/>
      <c r="O25" s="5"/>
      <c r="P25" s="5"/>
    </row>
    <row r="27" spans="1:18" x14ac:dyDescent="0.25">
      <c r="A27" s="58" t="s">
        <v>33</v>
      </c>
      <c r="B27" s="58"/>
      <c r="C27" s="58"/>
      <c r="D27" s="58"/>
      <c r="E27" s="58"/>
      <c r="F27" s="58"/>
      <c r="G27" s="58"/>
      <c r="H27" s="58"/>
      <c r="I27" s="58"/>
      <c r="J27" s="58"/>
      <c r="K27" s="58"/>
      <c r="L27" s="58"/>
      <c r="M27" s="58"/>
      <c r="N27" s="58"/>
      <c r="O27" s="58"/>
      <c r="P27" s="58"/>
      <c r="Q27" s="58"/>
      <c r="R27" s="58"/>
    </row>
    <row r="29" spans="1:18" x14ac:dyDescent="0.25">
      <c r="A29" s="6" t="s">
        <v>120</v>
      </c>
      <c r="B29" s="6" t="s">
        <v>121</v>
      </c>
      <c r="C29" s="7" t="s">
        <v>122</v>
      </c>
      <c r="D29" s="7" t="s">
        <v>123</v>
      </c>
      <c r="E29" s="6" t="s">
        <v>8</v>
      </c>
      <c r="F29" s="6" t="s">
        <v>124</v>
      </c>
      <c r="G29" s="6" t="s">
        <v>154</v>
      </c>
      <c r="H29" s="6" t="s">
        <v>155</v>
      </c>
      <c r="I29" s="6" t="s">
        <v>156</v>
      </c>
      <c r="J29" s="6" t="s">
        <v>157</v>
      </c>
      <c r="K29" s="6" t="s">
        <v>158</v>
      </c>
      <c r="L29" s="6" t="s">
        <v>159</v>
      </c>
      <c r="M29" s="6" t="s">
        <v>160</v>
      </c>
      <c r="N29" s="6" t="s">
        <v>161</v>
      </c>
      <c r="O29" s="6" t="s">
        <v>162</v>
      </c>
      <c r="P29" s="6" t="s">
        <v>163</v>
      </c>
      <c r="Q29" s="6" t="s">
        <v>164</v>
      </c>
      <c r="R29" s="7" t="s">
        <v>125</v>
      </c>
    </row>
    <row r="30" spans="1:18" ht="30" x14ac:dyDescent="0.25">
      <c r="A30" s="5" t="str">
        <f>"MED"&amp;TEXT(Table15[[#This Row],[Count]],"000")&amp;"."&amp;IF(Table15[[#This Row],[Category]]="Essential","E",IF(Table15[[#This Row],[Category]]="Discretionary","D","O"))</f>
        <v>MED017.E</v>
      </c>
      <c r="B30" s="5">
        <f>MAX(Table14[Count])+ROWS(INDEX(Table15[Count],1):Table15[[#This Row],[Count]])</f>
        <v>17</v>
      </c>
      <c r="C30" s="5" t="s">
        <v>33</v>
      </c>
      <c r="D30" s="5" t="s">
        <v>559</v>
      </c>
      <c r="E30" s="44" t="s">
        <v>13</v>
      </c>
      <c r="F30" s="5"/>
      <c r="G30" s="5"/>
      <c r="H30" s="5"/>
      <c r="I30" s="5"/>
      <c r="J30" s="5"/>
      <c r="K30" s="5"/>
      <c r="L30" s="5" t="s">
        <v>127</v>
      </c>
      <c r="M30" s="5" t="s">
        <v>127</v>
      </c>
      <c r="N30" s="5" t="s">
        <v>127</v>
      </c>
      <c r="O30" s="5"/>
      <c r="P30" s="5"/>
      <c r="R30" s="5" t="s">
        <v>560</v>
      </c>
    </row>
    <row r="31" spans="1:18" ht="30" x14ac:dyDescent="0.25">
      <c r="A31" s="5" t="str">
        <f>"MED"&amp;TEXT(Table15[[#This Row],[Count]],"000")&amp;"."&amp;IF(Table15[[#This Row],[Category]]="Essential","E",IF(Table15[[#This Row],[Category]]="Discretionary","D","O"))</f>
        <v>MED018.E</v>
      </c>
      <c r="B31" s="5">
        <f>MAX(Table14[Count])+ROWS(INDEX(Table15[Count],1):Table15[[#This Row],[Count]])</f>
        <v>18</v>
      </c>
      <c r="C31" s="5" t="s">
        <v>33</v>
      </c>
      <c r="D31" s="5" t="s">
        <v>561</v>
      </c>
      <c r="E31" s="45" t="s">
        <v>13</v>
      </c>
      <c r="F31" s="5"/>
      <c r="G31" s="5"/>
      <c r="H31" s="5"/>
      <c r="I31" s="5"/>
      <c r="J31" s="5"/>
      <c r="K31" s="5"/>
      <c r="L31" s="5"/>
      <c r="M31" s="5" t="s">
        <v>127</v>
      </c>
      <c r="N31" s="5" t="s">
        <v>127</v>
      </c>
      <c r="O31" s="5" t="s">
        <v>127</v>
      </c>
      <c r="P31" s="5" t="s">
        <v>127</v>
      </c>
    </row>
    <row r="32" spans="1:18" ht="30" x14ac:dyDescent="0.25">
      <c r="A32" s="5" t="str">
        <f>"MED"&amp;TEXT(Table15[[#This Row],[Count]],"000")&amp;"."&amp;IF(Table15[[#This Row],[Category]]="Essential","E",IF(Table15[[#This Row],[Category]]="Discretionary","D","O"))</f>
        <v>MED019.E</v>
      </c>
      <c r="B32" s="5">
        <f>MAX(Table14[Count])+ROWS(INDEX(Table15[Count],1):Table15[[#This Row],[Count]])</f>
        <v>19</v>
      </c>
      <c r="C32" s="5" t="s">
        <v>33</v>
      </c>
      <c r="D32" s="5" t="s">
        <v>562</v>
      </c>
      <c r="E32" s="44" t="s">
        <v>13</v>
      </c>
      <c r="F32" s="5"/>
      <c r="G32" s="5"/>
      <c r="H32" s="5"/>
      <c r="I32" s="5"/>
      <c r="J32" s="5"/>
      <c r="K32" s="5"/>
      <c r="L32" s="5"/>
      <c r="M32" s="5" t="s">
        <v>127</v>
      </c>
      <c r="N32" s="5" t="s">
        <v>127</v>
      </c>
      <c r="O32" s="5" t="s">
        <v>127</v>
      </c>
      <c r="P32" s="5" t="s">
        <v>127</v>
      </c>
    </row>
    <row r="33" spans="1:17" ht="30" x14ac:dyDescent="0.25">
      <c r="A33" s="5" t="str">
        <f>"MED"&amp;TEXT(Table15[[#This Row],[Count]],"000")&amp;"."&amp;IF(Table15[[#This Row],[Category]]="Essential","E",IF(Table15[[#This Row],[Category]]="Discretionary","D","O"))</f>
        <v>MED020.E</v>
      </c>
      <c r="B33" s="5">
        <f>MAX(Table14[Count])+ROWS(INDEX(Table15[Count],1):Table15[[#This Row],[Count]])</f>
        <v>20</v>
      </c>
      <c r="C33" s="5" t="s">
        <v>33</v>
      </c>
      <c r="D33" s="5" t="s">
        <v>563</v>
      </c>
      <c r="E33" s="45" t="s">
        <v>13</v>
      </c>
      <c r="F33" s="5"/>
      <c r="G33" s="5"/>
      <c r="H33" s="5"/>
      <c r="I33" s="5"/>
      <c r="J33" s="5"/>
      <c r="K33" s="5"/>
      <c r="L33" s="5"/>
      <c r="M33" s="5" t="s">
        <v>127</v>
      </c>
      <c r="N33" s="5" t="s">
        <v>127</v>
      </c>
      <c r="O33" s="5" t="s">
        <v>127</v>
      </c>
      <c r="P33" s="5" t="s">
        <v>127</v>
      </c>
    </row>
    <row r="34" spans="1:17" x14ac:dyDescent="0.25">
      <c r="A34" s="5" t="str">
        <f>"MED"&amp;TEXT(Table15[[#This Row],[Count]],"000")&amp;"."&amp;IF(Table15[[#This Row],[Category]]="Essential","E",IF(Table15[[#This Row],[Category]]="Discretionary","D","O"))</f>
        <v>MED021.E</v>
      </c>
      <c r="B34" s="5">
        <f>MAX(Table14[Count])+ROWS(INDEX(Table15[Count],1):Table15[[#This Row],[Count]])</f>
        <v>21</v>
      </c>
      <c r="C34" s="5" t="s">
        <v>33</v>
      </c>
      <c r="D34" s="5" t="s">
        <v>564</v>
      </c>
      <c r="E34" s="44" t="s">
        <v>13</v>
      </c>
      <c r="F34" s="5"/>
      <c r="G34" s="5"/>
      <c r="H34" s="5"/>
      <c r="I34" s="5"/>
      <c r="J34" s="5"/>
      <c r="K34" s="5"/>
      <c r="L34" s="5"/>
      <c r="M34" s="5" t="s">
        <v>127</v>
      </c>
      <c r="N34" s="5" t="s">
        <v>127</v>
      </c>
      <c r="O34" s="5" t="s">
        <v>127</v>
      </c>
      <c r="P34" s="5" t="s">
        <v>127</v>
      </c>
    </row>
    <row r="35" spans="1:17" ht="45" x14ac:dyDescent="0.25">
      <c r="A35" s="5" t="str">
        <f>"MED"&amp;TEXT(Table15[[#This Row],[Count]],"000")&amp;"."&amp;IF(Table15[[#This Row],[Category]]="Essential","E",IF(Table15[[#This Row],[Category]]="Discretionary","D","O"))</f>
        <v>MED022.E</v>
      </c>
      <c r="B35" s="5">
        <f>MAX(Table14[Count])+ROWS(INDEX(Table15[Count],1):Table15[[#This Row],[Count]])</f>
        <v>22</v>
      </c>
      <c r="C35" s="5" t="s">
        <v>33</v>
      </c>
      <c r="D35" s="5" t="s">
        <v>565</v>
      </c>
      <c r="E35" s="45" t="s">
        <v>13</v>
      </c>
      <c r="F35" s="5"/>
      <c r="G35" s="5"/>
      <c r="H35" s="5"/>
      <c r="I35" s="5"/>
      <c r="J35" s="5"/>
      <c r="K35" s="5"/>
      <c r="L35" s="5"/>
      <c r="M35" s="5" t="s">
        <v>127</v>
      </c>
      <c r="N35" s="5" t="s">
        <v>127</v>
      </c>
      <c r="O35" s="5" t="s">
        <v>127</v>
      </c>
      <c r="P35" s="5" t="s">
        <v>127</v>
      </c>
    </row>
    <row r="36" spans="1:17" ht="45" x14ac:dyDescent="0.25">
      <c r="A36" s="5" t="str">
        <f>"MED"&amp;TEXT(Table15[[#This Row],[Count]],"000")&amp;"."&amp;IF(Table15[[#This Row],[Category]]="Essential","E",IF(Table15[[#This Row],[Category]]="Discretionary","D","O"))</f>
        <v>MED023.E</v>
      </c>
      <c r="B36" s="5">
        <f>MAX(Table14[Count])+ROWS(INDEX(Table15[Count],1):Table15[[#This Row],[Count]])</f>
        <v>23</v>
      </c>
      <c r="C36" s="5" t="s">
        <v>33</v>
      </c>
      <c r="D36" s="5" t="s">
        <v>566</v>
      </c>
      <c r="E36" s="44" t="s">
        <v>13</v>
      </c>
      <c r="F36" s="5"/>
      <c r="G36" s="5"/>
      <c r="H36" s="5"/>
      <c r="I36" s="5"/>
      <c r="J36" s="5"/>
      <c r="K36" s="5"/>
      <c r="L36" s="5"/>
      <c r="M36" s="5" t="s">
        <v>127</v>
      </c>
      <c r="N36" s="5" t="s">
        <v>127</v>
      </c>
      <c r="O36" s="5" t="s">
        <v>127</v>
      </c>
      <c r="P36" s="5" t="s">
        <v>127</v>
      </c>
    </row>
    <row r="37" spans="1:17" ht="45" x14ac:dyDescent="0.25">
      <c r="A37" s="5" t="str">
        <f>"MED"&amp;TEXT(Table15[[#This Row],[Count]],"000")&amp;"."&amp;IF(Table15[[#This Row],[Category]]="Essential","E",IF(Table15[[#This Row],[Category]]="Discretionary","D","O"))</f>
        <v>MED024.E</v>
      </c>
      <c r="B37" s="5">
        <f>MAX(Table14[Count])+ROWS(INDEX(Table15[Count],1):Table15[[#This Row],[Count]])</f>
        <v>24</v>
      </c>
      <c r="C37" s="5" t="s">
        <v>33</v>
      </c>
      <c r="D37" s="5" t="s">
        <v>567</v>
      </c>
      <c r="E37" s="45" t="s">
        <v>13</v>
      </c>
      <c r="F37" s="5"/>
      <c r="G37" s="5"/>
      <c r="H37" s="5"/>
      <c r="I37" s="5"/>
      <c r="J37" s="5"/>
      <c r="K37" s="5"/>
      <c r="L37" s="5" t="s">
        <v>127</v>
      </c>
      <c r="M37" s="5" t="s">
        <v>127</v>
      </c>
      <c r="N37" s="5" t="s">
        <v>127</v>
      </c>
      <c r="O37" s="5" t="s">
        <v>127</v>
      </c>
      <c r="P37" s="5" t="s">
        <v>127</v>
      </c>
    </row>
    <row r="38" spans="1:17" ht="30" x14ac:dyDescent="0.25">
      <c r="A38" s="5" t="str">
        <f>"MED"&amp;TEXT(Table15[[#This Row],[Count]],"000")&amp;"."&amp;IF(Table15[[#This Row],[Category]]="Essential","E",IF(Table15[[#This Row],[Category]]="Discretionary","D","O"))</f>
        <v>MED025.D</v>
      </c>
      <c r="B38" s="5">
        <f>MAX(Table14[Count])+ROWS(INDEX(Table15[Count],1):Table15[[#This Row],[Count]])</f>
        <v>25</v>
      </c>
      <c r="C38" s="5" t="s">
        <v>33</v>
      </c>
      <c r="D38" s="5" t="s">
        <v>568</v>
      </c>
      <c r="E38" s="46" t="s">
        <v>18</v>
      </c>
      <c r="F38" s="5"/>
      <c r="G38" s="5"/>
      <c r="H38" s="5"/>
      <c r="I38" s="5"/>
      <c r="J38" s="5"/>
      <c r="K38" s="5"/>
      <c r="L38" s="5"/>
      <c r="M38" s="5" t="s">
        <v>127</v>
      </c>
      <c r="N38" s="5" t="s">
        <v>127</v>
      </c>
      <c r="O38" s="5" t="s">
        <v>127</v>
      </c>
      <c r="P38" s="5" t="s">
        <v>127</v>
      </c>
      <c r="Q38" s="5" t="s">
        <v>127</v>
      </c>
    </row>
    <row r="39" spans="1:17" ht="45" x14ac:dyDescent="0.25">
      <c r="A39" s="5" t="str">
        <f>"MED"&amp;TEXT(Table15[[#This Row],[Count]],"000")&amp;"."&amp;IF(Table15[[#This Row],[Category]]="Essential","E",IF(Table15[[#This Row],[Category]]="Discretionary","D","O"))</f>
        <v>MED026.E</v>
      </c>
      <c r="B39" s="5">
        <f>MAX(Table14[Count])+ROWS(INDEX(Table15[Count],1):Table15[[#This Row],[Count]])</f>
        <v>26</v>
      </c>
      <c r="C39" s="5" t="s">
        <v>33</v>
      </c>
      <c r="D39" s="5" t="s">
        <v>569</v>
      </c>
      <c r="E39" s="45" t="s">
        <v>13</v>
      </c>
      <c r="F39" s="5"/>
      <c r="G39" s="5"/>
      <c r="H39" s="5"/>
      <c r="I39" s="5"/>
      <c r="J39" s="5"/>
      <c r="K39" s="5"/>
      <c r="L39" s="5" t="s">
        <v>127</v>
      </c>
      <c r="M39" s="5"/>
      <c r="N39" s="5"/>
      <c r="O39" s="5"/>
      <c r="P39" s="5"/>
    </row>
    <row r="40" spans="1:17" ht="30" x14ac:dyDescent="0.25">
      <c r="A40" s="5" t="str">
        <f>"MED"&amp;TEXT(Table15[[#This Row],[Count]],"000")&amp;"."&amp;IF(Table15[[#This Row],[Category]]="Essential","E",IF(Table15[[#This Row],[Category]]="Discretionary","D","O"))</f>
        <v>MED027.E</v>
      </c>
      <c r="B40" s="5">
        <f>MAX(Table14[Count])+ROWS(INDEX(Table15[Count],1):Table15[[#This Row],[Count]])</f>
        <v>27</v>
      </c>
      <c r="C40" s="5" t="s">
        <v>33</v>
      </c>
      <c r="D40" s="5" t="s">
        <v>570</v>
      </c>
      <c r="E40" s="44" t="s">
        <v>13</v>
      </c>
      <c r="F40" s="5"/>
      <c r="G40" s="5"/>
      <c r="H40" s="5"/>
      <c r="I40" s="5"/>
      <c r="J40" s="5"/>
      <c r="K40" s="5"/>
      <c r="L40" s="5"/>
      <c r="M40" s="5" t="s">
        <v>127</v>
      </c>
      <c r="N40" s="5" t="s">
        <v>127</v>
      </c>
      <c r="O40" s="5" t="s">
        <v>127</v>
      </c>
      <c r="P40" s="5" t="s">
        <v>127</v>
      </c>
    </row>
    <row r="41" spans="1:17" ht="75" x14ac:dyDescent="0.25">
      <c r="A41" s="5" t="str">
        <f>"MED"&amp;TEXT(Table15[[#This Row],[Count]],"000")&amp;"."&amp;IF(Table15[[#This Row],[Category]]="Essential","E",IF(Table15[[#This Row],[Category]]="Discretionary","D","O"))</f>
        <v>MED028.E</v>
      </c>
      <c r="B41" s="5">
        <f>MAX(Table14[Count])+ROWS(INDEX(Table15[Count],1):Table15[[#This Row],[Count]])</f>
        <v>28</v>
      </c>
      <c r="C41" s="5" t="s">
        <v>33</v>
      </c>
      <c r="D41" s="5" t="s">
        <v>571</v>
      </c>
      <c r="E41" s="45" t="s">
        <v>13</v>
      </c>
      <c r="F41" s="5"/>
      <c r="G41" s="5"/>
      <c r="H41" s="5"/>
      <c r="I41" s="5"/>
      <c r="J41" s="5"/>
      <c r="K41" s="5"/>
      <c r="L41" s="5"/>
      <c r="M41" s="5" t="s">
        <v>127</v>
      </c>
      <c r="N41" s="5" t="s">
        <v>127</v>
      </c>
      <c r="O41" s="5" t="s">
        <v>127</v>
      </c>
      <c r="P41" s="5" t="s">
        <v>127</v>
      </c>
    </row>
    <row r="42" spans="1:17" ht="60" x14ac:dyDescent="0.25">
      <c r="A42" s="5" t="str">
        <f>"MED"&amp;TEXT(Table15[[#This Row],[Count]],"000")&amp;"."&amp;IF(Table15[[#This Row],[Category]]="Essential","E",IF(Table15[[#This Row],[Category]]="Discretionary","D","O"))</f>
        <v>MED029.E</v>
      </c>
      <c r="B42" s="5">
        <f>MAX(Table14[Count])+ROWS(INDEX(Table15[Count],1):Table15[[#This Row],[Count]])</f>
        <v>29</v>
      </c>
      <c r="C42" s="5" t="s">
        <v>33</v>
      </c>
      <c r="D42" s="5" t="s">
        <v>572</v>
      </c>
      <c r="E42" s="44" t="s">
        <v>13</v>
      </c>
      <c r="F42" s="5"/>
      <c r="G42" s="5"/>
      <c r="H42" s="5"/>
      <c r="I42" s="5"/>
      <c r="J42" s="5"/>
      <c r="K42" s="5"/>
      <c r="L42" s="5"/>
      <c r="M42" s="5" t="s">
        <v>127</v>
      </c>
      <c r="N42" s="5" t="s">
        <v>127</v>
      </c>
      <c r="O42" s="5" t="s">
        <v>127</v>
      </c>
      <c r="P42" s="5" t="s">
        <v>127</v>
      </c>
      <c r="Q42" s="5" t="s">
        <v>127</v>
      </c>
    </row>
    <row r="43" spans="1:17" x14ac:dyDescent="0.25">
      <c r="A43" s="5" t="str">
        <f>"MED"&amp;TEXT(Table15[[#This Row],[Count]],"000")&amp;"."&amp;IF(Table15[[#This Row],[Category]]="Essential","E",IF(Table15[[#This Row],[Category]]="Discretionary","D","O"))</f>
        <v>MED030.E</v>
      </c>
      <c r="B43" s="5">
        <f>MAX(Table14[Count])+ROWS(INDEX(Table15[Count],1):Table15[[#This Row],[Count]])</f>
        <v>30</v>
      </c>
      <c r="C43" s="5" t="s">
        <v>33</v>
      </c>
      <c r="D43" s="5" t="s">
        <v>573</v>
      </c>
      <c r="E43" s="45" t="s">
        <v>13</v>
      </c>
      <c r="F43" s="5"/>
      <c r="G43" s="5"/>
      <c r="H43" s="5"/>
      <c r="I43" s="5"/>
      <c r="J43" s="5"/>
      <c r="K43" s="5"/>
      <c r="L43" s="5" t="s">
        <v>127</v>
      </c>
      <c r="M43" s="5" t="s">
        <v>127</v>
      </c>
      <c r="N43" s="5" t="s">
        <v>127</v>
      </c>
      <c r="O43" s="5" t="s">
        <v>127</v>
      </c>
      <c r="P43" s="5" t="s">
        <v>127</v>
      </c>
    </row>
    <row r="44" spans="1:17" x14ac:dyDescent="0.25">
      <c r="A44" s="5" t="str">
        <f>"MED"&amp;TEXT(Table15[[#This Row],[Count]],"000")&amp;"."&amp;IF(Table15[[#This Row],[Category]]="Essential","E",IF(Table15[[#This Row],[Category]]="Discretionary","D","O"))</f>
        <v>MED031.E</v>
      </c>
      <c r="B44" s="5">
        <f>MAX(Table14[Count])+ROWS(INDEX(Table15[Count],1):Table15[[#This Row],[Count]])</f>
        <v>31</v>
      </c>
      <c r="C44" s="5" t="s">
        <v>33</v>
      </c>
      <c r="D44" s="5" t="s">
        <v>574</v>
      </c>
      <c r="E44" s="44" t="s">
        <v>13</v>
      </c>
      <c r="F44" s="5"/>
      <c r="G44" s="5"/>
      <c r="H44" s="5"/>
      <c r="I44" s="5"/>
      <c r="J44" s="5"/>
      <c r="K44" s="5"/>
      <c r="L44" s="5" t="s">
        <v>127</v>
      </c>
      <c r="M44" s="5" t="s">
        <v>127</v>
      </c>
      <c r="N44" s="5" t="s">
        <v>127</v>
      </c>
      <c r="O44" s="5" t="s">
        <v>127</v>
      </c>
      <c r="P44" s="5" t="s">
        <v>127</v>
      </c>
    </row>
    <row r="45" spans="1:17" x14ac:dyDescent="0.25">
      <c r="A45" s="5" t="str">
        <f>"MED"&amp;TEXT(Table15[[#This Row],[Count]],"000")&amp;"."&amp;IF(Table15[[#This Row],[Category]]="Essential","E",IF(Table15[[#This Row],[Category]]="Discretionary","D","O"))</f>
        <v>MED032.E</v>
      </c>
      <c r="B45" s="5">
        <f>MAX(Table14[Count])+ROWS(INDEX(Table15[Count],1):Table15[[#This Row],[Count]])</f>
        <v>32</v>
      </c>
      <c r="C45" s="5" t="s">
        <v>33</v>
      </c>
      <c r="D45" s="5" t="s">
        <v>575</v>
      </c>
      <c r="E45" s="45" t="s">
        <v>13</v>
      </c>
      <c r="F45" s="5"/>
      <c r="G45" s="5"/>
      <c r="H45" s="5"/>
      <c r="I45" s="5"/>
      <c r="J45" s="5"/>
      <c r="K45" s="5"/>
      <c r="L45" s="5" t="s">
        <v>127</v>
      </c>
      <c r="M45" s="5"/>
      <c r="N45" s="5"/>
      <c r="O45" s="5"/>
      <c r="P45" s="5"/>
    </row>
    <row r="46" spans="1:17" x14ac:dyDescent="0.25">
      <c r="A46" s="5" t="str">
        <f>"MED"&amp;TEXT(Table15[[#This Row],[Count]],"000")&amp;"."&amp;IF(Table15[[#This Row],[Category]]="Essential","E",IF(Table15[[#This Row],[Category]]="Discretionary","D","O"))</f>
        <v>MED033.E</v>
      </c>
      <c r="B46" s="5">
        <f>MAX(Table14[Count])+ROWS(INDEX(Table15[Count],1):Table15[[#This Row],[Count]])</f>
        <v>33</v>
      </c>
      <c r="C46" s="5" t="s">
        <v>33</v>
      </c>
      <c r="D46" s="5" t="s">
        <v>576</v>
      </c>
      <c r="E46" s="44" t="s">
        <v>13</v>
      </c>
      <c r="F46" s="5"/>
      <c r="G46" s="5"/>
      <c r="H46" s="5"/>
      <c r="I46" s="5"/>
      <c r="J46" s="5"/>
      <c r="K46" s="5"/>
      <c r="L46" s="5"/>
      <c r="M46" s="5" t="s">
        <v>127</v>
      </c>
      <c r="N46" s="5" t="s">
        <v>127</v>
      </c>
      <c r="O46" s="5" t="s">
        <v>127</v>
      </c>
      <c r="P46" s="5" t="s">
        <v>127</v>
      </c>
      <c r="Q46" s="5" t="s">
        <v>127</v>
      </c>
    </row>
    <row r="47" spans="1:17" x14ac:dyDescent="0.25">
      <c r="A47" s="5" t="str">
        <f>"MED"&amp;TEXT(Table15[[#This Row],[Count]],"000")&amp;"."&amp;IF(Table15[[#This Row],[Category]]="Essential","E",IF(Table15[[#This Row],[Category]]="Discretionary","D","O"))</f>
        <v>MED034.E</v>
      </c>
      <c r="B47" s="5">
        <f>MAX(Table14[Count])+ROWS(INDEX(Table15[Count],1):Table15[[#This Row],[Count]])</f>
        <v>34</v>
      </c>
      <c r="C47" s="5" t="s">
        <v>33</v>
      </c>
      <c r="D47" s="5" t="s">
        <v>577</v>
      </c>
      <c r="E47" s="45" t="s">
        <v>13</v>
      </c>
      <c r="F47" s="5" t="s">
        <v>127</v>
      </c>
      <c r="G47" s="5"/>
      <c r="H47" s="5"/>
      <c r="I47" s="5"/>
      <c r="J47" s="5"/>
      <c r="K47" s="5"/>
      <c r="L47" s="5"/>
      <c r="M47" s="5"/>
      <c r="N47" s="5"/>
      <c r="O47" s="5"/>
      <c r="P47" s="5"/>
    </row>
    <row r="48" spans="1:17" ht="30" x14ac:dyDescent="0.25">
      <c r="A48" s="5" t="str">
        <f>"MED"&amp;TEXT(Table15[[#This Row],[Count]],"000")&amp;"."&amp;IF(Table15[[#This Row],[Category]]="Essential","E",IF(Table15[[#This Row],[Category]]="Discretionary","D","O"))</f>
        <v>MED035.E</v>
      </c>
      <c r="B48" s="5">
        <f>MAX(Table14[Count])+ROWS(INDEX(Table15[Count],1):Table15[[#This Row],[Count]])</f>
        <v>35</v>
      </c>
      <c r="C48" s="5" t="s">
        <v>33</v>
      </c>
      <c r="D48" s="5" t="s">
        <v>578</v>
      </c>
      <c r="E48" s="44" t="s">
        <v>13</v>
      </c>
      <c r="F48" s="5"/>
      <c r="G48" s="5"/>
      <c r="H48" s="5"/>
      <c r="I48" s="5"/>
      <c r="J48" s="5"/>
      <c r="K48" s="5"/>
      <c r="L48" s="5"/>
      <c r="M48" s="5" t="s">
        <v>127</v>
      </c>
      <c r="N48" s="5" t="s">
        <v>127</v>
      </c>
      <c r="O48" s="5" t="s">
        <v>127</v>
      </c>
      <c r="P48" s="5" t="s">
        <v>127</v>
      </c>
    </row>
    <row r="49" spans="1:18" ht="30" x14ac:dyDescent="0.25">
      <c r="A49" s="5" t="str">
        <f>"MED"&amp;TEXT(Table15[[#This Row],[Count]],"000")&amp;"."&amp;IF(Table15[[#This Row],[Category]]="Essential","E",IF(Table15[[#This Row],[Category]]="Discretionary","D","O"))</f>
        <v>MED036.E</v>
      </c>
      <c r="B49" s="5">
        <f>MAX(Table14[Count])+ROWS(INDEX(Table15[Count],1):Table15[[#This Row],[Count]])</f>
        <v>36</v>
      </c>
      <c r="C49" s="5" t="s">
        <v>33</v>
      </c>
      <c r="D49" s="5" t="s">
        <v>579</v>
      </c>
      <c r="E49" s="45" t="s">
        <v>13</v>
      </c>
      <c r="F49" s="5"/>
      <c r="G49" s="5"/>
      <c r="H49" s="5"/>
      <c r="I49" s="5"/>
      <c r="J49" s="5"/>
      <c r="K49" s="5"/>
      <c r="L49" s="5" t="s">
        <v>127</v>
      </c>
      <c r="M49" s="5" t="s">
        <v>127</v>
      </c>
      <c r="N49" s="5" t="s">
        <v>127</v>
      </c>
      <c r="O49" s="5"/>
      <c r="P49" s="5"/>
    </row>
    <row r="50" spans="1:18" ht="30" x14ac:dyDescent="0.25">
      <c r="A50" s="5" t="str">
        <f>"MED"&amp;TEXT(Table15[[#This Row],[Count]],"000")&amp;"."&amp;IF(Table15[[#This Row],[Category]]="Essential","E",IF(Table15[[#This Row],[Category]]="Discretionary","D","O"))</f>
        <v>MED037.E</v>
      </c>
      <c r="B50" s="5">
        <f>MAX(Table14[Count])+ROWS(INDEX(Table15[Count],1):Table15[[#This Row],[Count]])</f>
        <v>37</v>
      </c>
      <c r="C50" s="5" t="s">
        <v>33</v>
      </c>
      <c r="D50" s="5" t="s">
        <v>580</v>
      </c>
      <c r="E50" s="44" t="s">
        <v>13</v>
      </c>
      <c r="F50" s="5"/>
      <c r="G50" s="5"/>
      <c r="H50" s="5"/>
      <c r="I50" s="5"/>
      <c r="J50" s="5"/>
      <c r="K50" s="5"/>
      <c r="L50" s="5"/>
      <c r="M50" s="5" t="s">
        <v>127</v>
      </c>
      <c r="N50" s="5" t="s">
        <v>127</v>
      </c>
      <c r="O50" s="5" t="s">
        <v>127</v>
      </c>
      <c r="P50" s="5" t="s">
        <v>127</v>
      </c>
    </row>
    <row r="51" spans="1:18" ht="30" x14ac:dyDescent="0.25">
      <c r="A51" s="5" t="str">
        <f>"MED"&amp;TEXT(Table15[[#This Row],[Count]],"000")&amp;"."&amp;IF(Table15[[#This Row],[Category]]="Essential","E",IF(Table15[[#This Row],[Category]]="Discretionary","D","O"))</f>
        <v>MED038.E</v>
      </c>
      <c r="B51" s="5">
        <f>MAX(Table14[Count])+ROWS(INDEX(Table15[Count],1):Table15[[#This Row],[Count]])</f>
        <v>38</v>
      </c>
      <c r="C51" s="5" t="s">
        <v>33</v>
      </c>
      <c r="D51" s="5" t="s">
        <v>581</v>
      </c>
      <c r="E51" s="45" t="s">
        <v>13</v>
      </c>
      <c r="F51" s="5"/>
      <c r="G51" s="5"/>
      <c r="H51" s="5"/>
      <c r="I51" s="5"/>
      <c r="J51" s="5"/>
      <c r="K51" s="5"/>
      <c r="L51" s="5"/>
      <c r="M51" s="5" t="s">
        <v>127</v>
      </c>
      <c r="N51" s="5" t="s">
        <v>127</v>
      </c>
      <c r="O51" s="5" t="s">
        <v>127</v>
      </c>
      <c r="P51" s="5" t="s">
        <v>127</v>
      </c>
    </row>
    <row r="52" spans="1:18" ht="45" x14ac:dyDescent="0.25">
      <c r="A52" s="5" t="str">
        <f>"MED"&amp;TEXT(Table15[[#This Row],[Count]],"000")&amp;"."&amp;IF(Table15[[#This Row],[Category]]="Essential","E",IF(Table15[[#This Row],[Category]]="Discretionary","D","O"))</f>
        <v>MED039.O</v>
      </c>
      <c r="B52" s="5">
        <f>MAX(Table14[Count])+ROWS(INDEX(Table15[Count],1):Table15[[#This Row],[Count]])</f>
        <v>39</v>
      </c>
      <c r="C52" s="5" t="s">
        <v>33</v>
      </c>
      <c r="D52" s="5" t="s">
        <v>582</v>
      </c>
      <c r="E52" s="47" t="s">
        <v>23</v>
      </c>
      <c r="F52" s="5"/>
      <c r="G52" s="5"/>
      <c r="H52" s="5"/>
      <c r="I52" s="5"/>
      <c r="J52" s="5"/>
      <c r="K52" s="5"/>
      <c r="L52" s="5"/>
      <c r="M52" s="5" t="s">
        <v>127</v>
      </c>
      <c r="N52" s="5" t="s">
        <v>127</v>
      </c>
      <c r="O52" s="5" t="s">
        <v>127</v>
      </c>
      <c r="P52" s="5" t="s">
        <v>127</v>
      </c>
      <c r="R52" s="5" t="s">
        <v>583</v>
      </c>
    </row>
    <row r="53" spans="1:18" ht="30" x14ac:dyDescent="0.25">
      <c r="A53" s="5" t="str">
        <f>"MED"&amp;TEXT(Table15[[#This Row],[Count]],"000")&amp;"."&amp;IF(Table15[[#This Row],[Category]]="Essential","E",IF(Table15[[#This Row],[Category]]="Discretionary","D","O"))</f>
        <v>MED040.E</v>
      </c>
      <c r="B53" s="5">
        <f>MAX(Table14[Count])+ROWS(INDEX(Table15[Count],1):Table15[[#This Row],[Count]])</f>
        <v>40</v>
      </c>
      <c r="C53" s="5" t="s">
        <v>33</v>
      </c>
      <c r="D53" s="5" t="s">
        <v>584</v>
      </c>
      <c r="E53" s="45" t="s">
        <v>13</v>
      </c>
      <c r="F53" s="5" t="s">
        <v>127</v>
      </c>
      <c r="G53" s="5"/>
      <c r="H53" s="5"/>
      <c r="I53" s="5"/>
      <c r="J53" s="5"/>
      <c r="K53" s="5"/>
      <c r="L53" s="5"/>
      <c r="M53" s="5"/>
      <c r="N53" s="5"/>
      <c r="O53" s="5"/>
      <c r="P53" s="5"/>
    </row>
    <row r="54" spans="1:18" ht="45" x14ac:dyDescent="0.25">
      <c r="A54" s="5" t="str">
        <f>"MED"&amp;TEXT(Table15[[#This Row],[Count]],"000")&amp;"."&amp;IF(Table15[[#This Row],[Category]]="Essential","E",IF(Table15[[#This Row],[Category]]="Discretionary","D","O"))</f>
        <v>MED041.O</v>
      </c>
      <c r="B54" s="5">
        <f>MAX(Table14[Count])+ROWS(INDEX(Table15[Count],1):Table15[[#This Row],[Count]])</f>
        <v>41</v>
      </c>
      <c r="C54" s="5" t="s">
        <v>33</v>
      </c>
      <c r="D54" s="5" t="s">
        <v>585</v>
      </c>
      <c r="E54" s="47" t="s">
        <v>23</v>
      </c>
      <c r="F54" s="5"/>
      <c r="G54" s="5"/>
      <c r="H54" s="5"/>
      <c r="I54" s="5"/>
      <c r="J54" s="5"/>
      <c r="K54" s="5"/>
      <c r="L54" s="5"/>
      <c r="M54" s="5" t="s">
        <v>127</v>
      </c>
      <c r="N54" s="5" t="s">
        <v>127</v>
      </c>
      <c r="O54" s="5" t="s">
        <v>127</v>
      </c>
      <c r="P54" s="5" t="s">
        <v>127</v>
      </c>
      <c r="R54" s="5" t="s">
        <v>583</v>
      </c>
    </row>
    <row r="55" spans="1:18" ht="45" x14ac:dyDescent="0.25">
      <c r="A55" s="5" t="str">
        <f>"MED"&amp;TEXT(Table15[[#This Row],[Count]],"000")&amp;"."&amp;IF(Table15[[#This Row],[Category]]="Essential","E",IF(Table15[[#This Row],[Category]]="Discretionary","D","O"))</f>
        <v>MED042.O</v>
      </c>
      <c r="B55" s="5">
        <f>MAX(Table14[Count])+ROWS(INDEX(Table15[Count],1):Table15[[#This Row],[Count]])</f>
        <v>42</v>
      </c>
      <c r="C55" s="5" t="s">
        <v>33</v>
      </c>
      <c r="D55" s="5" t="s">
        <v>586</v>
      </c>
      <c r="E55" s="48" t="s">
        <v>23</v>
      </c>
      <c r="F55" s="5"/>
      <c r="G55" s="5"/>
      <c r="H55" s="5"/>
      <c r="I55" s="5"/>
      <c r="J55" s="5"/>
      <c r="K55" s="5"/>
      <c r="L55" s="5"/>
      <c r="M55" s="5" t="s">
        <v>127</v>
      </c>
      <c r="N55" s="5" t="s">
        <v>127</v>
      </c>
      <c r="O55" s="5" t="s">
        <v>127</v>
      </c>
      <c r="P55" s="5" t="s">
        <v>127</v>
      </c>
      <c r="R55" s="5" t="s">
        <v>583</v>
      </c>
    </row>
    <row r="56" spans="1:18" ht="30" x14ac:dyDescent="0.25">
      <c r="A56" s="5" t="str">
        <f>"MED"&amp;TEXT(Table15[[#This Row],[Count]],"000")&amp;"."&amp;IF(Table15[[#This Row],[Category]]="Essential","E",IF(Table15[[#This Row],[Category]]="Discretionary","D","O"))</f>
        <v>MED043.E</v>
      </c>
      <c r="B56" s="5">
        <f>MAX(Table14[Count])+ROWS(INDEX(Table15[Count],1):Table15[[#This Row],[Count]])</f>
        <v>43</v>
      </c>
      <c r="C56" s="5" t="s">
        <v>33</v>
      </c>
      <c r="D56" s="5" t="s">
        <v>587</v>
      </c>
      <c r="E56" s="44" t="s">
        <v>13</v>
      </c>
      <c r="F56" s="5"/>
      <c r="G56" s="5"/>
      <c r="H56" s="5"/>
      <c r="I56" s="5"/>
      <c r="J56" s="5"/>
      <c r="K56" s="5"/>
      <c r="L56" s="5" t="s">
        <v>127</v>
      </c>
      <c r="M56" s="5" t="s">
        <v>127</v>
      </c>
      <c r="N56" s="5"/>
      <c r="O56" s="5"/>
      <c r="P56" s="5"/>
    </row>
    <row r="57" spans="1:18" x14ac:dyDescent="0.25">
      <c r="A57" s="5" t="str">
        <f>"MED"&amp;TEXT(Table15[[#This Row],[Count]],"000")&amp;"."&amp;IF(Table15[[#This Row],[Category]]="Essential","E",IF(Table15[[#This Row],[Category]]="Discretionary","D","O"))</f>
        <v>MED044.E</v>
      </c>
      <c r="B57" s="5">
        <f>MAX(Table14[Count])+ROWS(INDEX(Table15[Count],1):Table15[[#This Row],[Count]])</f>
        <v>44</v>
      </c>
      <c r="C57" s="5" t="s">
        <v>33</v>
      </c>
      <c r="D57" s="5" t="s">
        <v>588</v>
      </c>
      <c r="E57" s="45" t="s">
        <v>13</v>
      </c>
      <c r="F57" s="5"/>
      <c r="G57" s="5"/>
      <c r="H57" s="5"/>
      <c r="I57" s="5"/>
      <c r="J57" s="5"/>
      <c r="K57" s="5"/>
      <c r="L57" s="5"/>
      <c r="M57" s="5" t="s">
        <v>127</v>
      </c>
      <c r="N57" s="5" t="s">
        <v>127</v>
      </c>
      <c r="O57" s="5" t="s">
        <v>127</v>
      </c>
      <c r="P57" s="5" t="s">
        <v>127</v>
      </c>
    </row>
    <row r="58" spans="1:18" x14ac:dyDescent="0.25">
      <c r="A58" s="5" t="str">
        <f>"MED"&amp;TEXT(Table15[[#This Row],[Count]],"000")&amp;"."&amp;IF(Table15[[#This Row],[Category]]="Essential","E",IF(Table15[[#This Row],[Category]]="Discretionary","D","O"))</f>
        <v>MED045.E</v>
      </c>
      <c r="B58" s="5">
        <f>MAX(Table14[Count])+ROWS(INDEX(Table15[Count],1):Table15[[#This Row],[Count]])</f>
        <v>45</v>
      </c>
      <c r="C58" s="5" t="s">
        <v>33</v>
      </c>
      <c r="D58" s="5" t="s">
        <v>589</v>
      </c>
      <c r="E58" s="44" t="s">
        <v>13</v>
      </c>
      <c r="F58" s="5"/>
      <c r="G58" s="5"/>
      <c r="H58" s="5"/>
      <c r="I58" s="5"/>
      <c r="J58" s="5"/>
      <c r="K58" s="5"/>
      <c r="L58" s="5" t="s">
        <v>127</v>
      </c>
      <c r="M58" s="5" t="s">
        <v>127</v>
      </c>
      <c r="N58" s="5" t="s">
        <v>127</v>
      </c>
      <c r="O58" s="5" t="s">
        <v>127</v>
      </c>
      <c r="P58" s="5" t="s">
        <v>127</v>
      </c>
    </row>
    <row r="59" spans="1:18" ht="30" x14ac:dyDescent="0.25">
      <c r="A59" s="5" t="str">
        <f>"MED"&amp;TEXT(Table15[[#This Row],[Count]],"000")&amp;"."&amp;IF(Table15[[#This Row],[Category]]="Essential","E",IF(Table15[[#This Row],[Category]]="Discretionary","D","O"))</f>
        <v>MED046.E</v>
      </c>
      <c r="B59" s="5">
        <f>MAX(Table14[Count])+ROWS(INDEX(Table15[Count],1):Table15[[#This Row],[Count]])</f>
        <v>46</v>
      </c>
      <c r="C59" s="5" t="s">
        <v>33</v>
      </c>
      <c r="D59" s="5" t="s">
        <v>590</v>
      </c>
      <c r="E59" s="45" t="s">
        <v>13</v>
      </c>
      <c r="F59" s="5"/>
      <c r="G59" s="5"/>
      <c r="H59" s="5"/>
      <c r="I59" s="5"/>
      <c r="J59" s="5"/>
      <c r="K59" s="5"/>
      <c r="L59" s="5" t="s">
        <v>127</v>
      </c>
      <c r="M59" s="5" t="s">
        <v>127</v>
      </c>
      <c r="N59" s="5" t="s">
        <v>127</v>
      </c>
      <c r="O59" s="5" t="s">
        <v>127</v>
      </c>
      <c r="P59" s="5" t="s">
        <v>127</v>
      </c>
      <c r="R59" s="5" t="s">
        <v>591</v>
      </c>
    </row>
    <row r="60" spans="1:18" x14ac:dyDescent="0.25">
      <c r="A60" s="5" t="str">
        <f>"MED"&amp;TEXT(Table15[[#This Row],[Count]],"000")&amp;"."&amp;IF(Table15[[#This Row],[Category]]="Essential","E",IF(Table15[[#This Row],[Category]]="Discretionary","D","O"))</f>
        <v>MED047.E</v>
      </c>
      <c r="B60" s="5">
        <f>MAX(Table14[Count])+ROWS(INDEX(Table15[Count],1):Table15[[#This Row],[Count]])</f>
        <v>47</v>
      </c>
      <c r="C60" s="5" t="s">
        <v>33</v>
      </c>
      <c r="D60" s="5" t="s">
        <v>592</v>
      </c>
      <c r="E60" s="44" t="s">
        <v>13</v>
      </c>
      <c r="F60" s="5" t="s">
        <v>127</v>
      </c>
      <c r="G60" s="5"/>
      <c r="H60" s="5"/>
      <c r="I60" s="5"/>
      <c r="J60" s="5"/>
      <c r="K60" s="5"/>
      <c r="L60" s="5"/>
      <c r="M60" s="5"/>
      <c r="N60" s="5"/>
      <c r="O60" s="5"/>
      <c r="P60" s="5"/>
    </row>
    <row r="61" spans="1:18" x14ac:dyDescent="0.25">
      <c r="A61" s="5" t="str">
        <f>"MED"&amp;TEXT(Table15[[#This Row],[Count]],"000")&amp;"."&amp;IF(Table15[[#This Row],[Category]]="Essential","E",IF(Table15[[#This Row],[Category]]="Discretionary","D","O"))</f>
        <v>MED048.O</v>
      </c>
      <c r="B61" s="5">
        <f>MAX(Table14[Count])+ROWS(INDEX(Table15[Count],1):Table15[[#This Row],[Count]])</f>
        <v>48</v>
      </c>
      <c r="C61" s="5" t="s">
        <v>33</v>
      </c>
      <c r="D61" s="5" t="s">
        <v>593</v>
      </c>
      <c r="E61" s="48" t="s">
        <v>23</v>
      </c>
      <c r="F61" s="5"/>
      <c r="G61" s="5"/>
      <c r="H61" s="5"/>
      <c r="I61" s="5"/>
      <c r="J61" s="5"/>
      <c r="K61" s="5"/>
      <c r="L61" s="5"/>
      <c r="M61" s="5" t="s">
        <v>127</v>
      </c>
      <c r="N61" s="5" t="s">
        <v>127</v>
      </c>
      <c r="O61" s="5" t="s">
        <v>127</v>
      </c>
      <c r="P61" s="5" t="s">
        <v>127</v>
      </c>
    </row>
    <row r="62" spans="1:18" ht="30" x14ac:dyDescent="0.25">
      <c r="A62" s="5" t="str">
        <f>"MED"&amp;TEXT(Table15[[#This Row],[Count]],"000")&amp;"."&amp;IF(Table15[[#This Row],[Category]]="Essential","E",IF(Table15[[#This Row],[Category]]="Discretionary","D","O"))</f>
        <v>MED049.E</v>
      </c>
      <c r="B62" s="5">
        <f>MAX(Table14[Count])+ROWS(INDEX(Table15[Count],1):Table15[[#This Row],[Count]])</f>
        <v>49</v>
      </c>
      <c r="C62" s="5" t="s">
        <v>33</v>
      </c>
      <c r="D62" s="5" t="s">
        <v>594</v>
      </c>
      <c r="E62" s="44" t="s">
        <v>13</v>
      </c>
      <c r="F62" s="5" t="s">
        <v>127</v>
      </c>
      <c r="G62" s="5"/>
      <c r="H62" s="5"/>
      <c r="I62" s="5"/>
      <c r="J62" s="5"/>
      <c r="K62" s="5"/>
      <c r="L62" s="5"/>
      <c r="M62" s="5"/>
      <c r="N62" s="5"/>
      <c r="O62" s="5"/>
      <c r="P62" s="5"/>
    </row>
    <row r="63" spans="1:18" ht="30" x14ac:dyDescent="0.25">
      <c r="A63" s="5" t="str">
        <f>"MED"&amp;TEXT(Table15[[#This Row],[Count]],"000")&amp;"."&amp;IF(Table15[[#This Row],[Category]]="Essential","E",IF(Table15[[#This Row],[Category]]="Discretionary","D","O"))</f>
        <v>MED050.E</v>
      </c>
      <c r="B63" s="5">
        <f>MAX(Table14[Count])+ROWS(INDEX(Table15[Count],1):Table15[[#This Row],[Count]])</f>
        <v>50</v>
      </c>
      <c r="C63" s="5" t="s">
        <v>33</v>
      </c>
      <c r="D63" s="5" t="s">
        <v>595</v>
      </c>
      <c r="E63" s="44" t="s">
        <v>13</v>
      </c>
      <c r="F63" s="5" t="s">
        <v>127</v>
      </c>
      <c r="G63" s="5"/>
      <c r="H63" s="5"/>
      <c r="I63" s="5"/>
      <c r="J63" s="5"/>
      <c r="K63" s="5"/>
      <c r="L63" s="5"/>
      <c r="M63" s="5"/>
      <c r="N63" s="5"/>
      <c r="O63" s="5"/>
      <c r="P63" s="5"/>
      <c r="R63" s="5" t="s">
        <v>596</v>
      </c>
    </row>
    <row r="64" spans="1:18" ht="30" x14ac:dyDescent="0.25">
      <c r="A64" s="5" t="str">
        <f>"MED"&amp;TEXT(Table15[[#This Row],[Count]],"000")&amp;"."&amp;IF(Table15[[#This Row],[Category]]="Essential","E",IF(Table15[[#This Row],[Category]]="Discretionary","D","O"))</f>
        <v>MED051.E</v>
      </c>
      <c r="B64" s="5">
        <f>MAX(Table14[Count])+ROWS(INDEX(Table15[Count],1):Table15[[#This Row],[Count]])</f>
        <v>51</v>
      </c>
      <c r="C64" s="5" t="s">
        <v>33</v>
      </c>
      <c r="D64" s="5" t="s">
        <v>597</v>
      </c>
      <c r="E64" s="44" t="s">
        <v>13</v>
      </c>
      <c r="F64" s="5"/>
      <c r="G64" s="5"/>
      <c r="H64" s="5"/>
      <c r="I64" s="5"/>
      <c r="J64" s="5"/>
      <c r="K64" s="5"/>
      <c r="L64" s="5" t="s">
        <v>127</v>
      </c>
      <c r="M64" s="5" t="s">
        <v>127</v>
      </c>
      <c r="N64" s="5" t="s">
        <v>127</v>
      </c>
      <c r="O64" s="5" t="s">
        <v>127</v>
      </c>
      <c r="P64" s="5" t="s">
        <v>127</v>
      </c>
      <c r="R64" s="5" t="s">
        <v>598</v>
      </c>
    </row>
    <row r="65" spans="1:18" ht="45" x14ac:dyDescent="0.25">
      <c r="A65" s="5" t="str">
        <f>"MED"&amp;TEXT(Table15[[#This Row],[Count]],"000")&amp;"."&amp;IF(Table15[[#This Row],[Category]]="Essential","E",IF(Table15[[#This Row],[Category]]="Discretionary","D","O"))</f>
        <v>MED052.E</v>
      </c>
      <c r="B65" s="5">
        <f>MAX(Table14[Count])+ROWS(INDEX(Table15[Count],1):Table15[[#This Row],[Count]])</f>
        <v>52</v>
      </c>
      <c r="C65" s="5" t="s">
        <v>33</v>
      </c>
      <c r="D65" s="5" t="s">
        <v>599</v>
      </c>
      <c r="E65" s="44" t="s">
        <v>13</v>
      </c>
      <c r="F65" s="5"/>
      <c r="G65" s="5"/>
      <c r="H65" s="5"/>
      <c r="I65" s="5"/>
      <c r="J65" s="5"/>
      <c r="K65" s="5"/>
      <c r="L65" s="5"/>
      <c r="M65" s="5" t="s">
        <v>127</v>
      </c>
      <c r="N65" s="5" t="s">
        <v>127</v>
      </c>
      <c r="O65" s="5" t="s">
        <v>127</v>
      </c>
      <c r="P65" s="5" t="s">
        <v>127</v>
      </c>
    </row>
    <row r="66" spans="1:18" ht="30" x14ac:dyDescent="0.25">
      <c r="A66" s="5" t="str">
        <f>"MED"&amp;TEXT(Table15[[#This Row],[Count]],"000")&amp;"."&amp;IF(Table15[[#This Row],[Category]]="Essential","E",IF(Table15[[#This Row],[Category]]="Discretionary","D","O"))</f>
        <v>MED053.E</v>
      </c>
      <c r="B66" s="5">
        <f>MAX(Table14[Count])+ROWS(INDEX(Table15[Count],1):Table15[[#This Row],[Count]])</f>
        <v>53</v>
      </c>
      <c r="C66" s="5" t="s">
        <v>33</v>
      </c>
      <c r="D66" s="5" t="s">
        <v>600</v>
      </c>
      <c r="E66" s="44" t="s">
        <v>13</v>
      </c>
      <c r="F66" s="5"/>
      <c r="G66" s="5"/>
      <c r="H66" s="5"/>
      <c r="I66" s="5"/>
      <c r="J66" s="5"/>
      <c r="K66" s="5"/>
      <c r="L66" s="5"/>
      <c r="M66" s="5" t="s">
        <v>127</v>
      </c>
      <c r="N66" s="5" t="s">
        <v>127</v>
      </c>
      <c r="O66" s="5" t="s">
        <v>127</v>
      </c>
      <c r="P66" s="5" t="s">
        <v>127</v>
      </c>
    </row>
    <row r="67" spans="1:18" ht="30" x14ac:dyDescent="0.25">
      <c r="A67" s="5" t="str">
        <f>"MED"&amp;TEXT(Table15[[#This Row],[Count]],"000")&amp;"."&amp;IF(Table15[[#This Row],[Category]]="Essential","E",IF(Table15[[#This Row],[Category]]="Discretionary","D","O"))</f>
        <v>MED054.E</v>
      </c>
      <c r="B67" s="5">
        <f>MAX(Table14[Count])+ROWS(INDEX(Table15[Count],1):Table15[[#This Row],[Count]])</f>
        <v>54</v>
      </c>
      <c r="C67" s="5" t="s">
        <v>33</v>
      </c>
      <c r="D67" s="5" t="s">
        <v>601</v>
      </c>
      <c r="E67" s="44" t="s">
        <v>13</v>
      </c>
      <c r="F67" s="5"/>
      <c r="G67" s="5"/>
      <c r="H67" s="5"/>
      <c r="I67" s="5"/>
      <c r="J67" s="5"/>
      <c r="K67" s="5"/>
      <c r="L67" s="5"/>
      <c r="M67" s="5" t="s">
        <v>127</v>
      </c>
      <c r="N67" s="5" t="s">
        <v>127</v>
      </c>
      <c r="O67" s="5" t="s">
        <v>127</v>
      </c>
      <c r="P67" s="5" t="s">
        <v>127</v>
      </c>
    </row>
    <row r="68" spans="1:18" ht="30" x14ac:dyDescent="0.25">
      <c r="A68" s="5" t="str">
        <f>"MED"&amp;TEXT(Table15[[#This Row],[Count]],"000")&amp;"."&amp;IF(Table15[[#This Row],[Category]]="Essential","E",IF(Table15[[#This Row],[Category]]="Discretionary","D","O"))</f>
        <v>MED055.O</v>
      </c>
      <c r="B68" s="5">
        <f>MAX(Table14[Count])+ROWS(INDEX(Table15[Count],1):Table15[[#This Row],[Count]])</f>
        <v>55</v>
      </c>
      <c r="C68" s="5" t="s">
        <v>33</v>
      </c>
      <c r="D68" s="5" t="s">
        <v>602</v>
      </c>
      <c r="E68" s="5" t="s">
        <v>23</v>
      </c>
      <c r="F68" s="5"/>
      <c r="G68" s="5"/>
      <c r="H68" s="5"/>
      <c r="I68" s="5"/>
      <c r="J68" s="5"/>
      <c r="K68" s="5"/>
      <c r="L68" s="5"/>
      <c r="M68" s="5" t="s">
        <v>127</v>
      </c>
      <c r="N68" s="5" t="s">
        <v>127</v>
      </c>
      <c r="O68" s="5" t="s">
        <v>127</v>
      </c>
      <c r="P68" s="5" t="s">
        <v>127</v>
      </c>
      <c r="R68" s="5" t="s">
        <v>603</v>
      </c>
    </row>
    <row r="69" spans="1:18" ht="30" x14ac:dyDescent="0.25">
      <c r="A69" s="5" t="str">
        <f>"MED"&amp;TEXT(Table15[[#This Row],[Count]],"000")&amp;"."&amp;IF(Table15[[#This Row],[Category]]="Essential","E",IF(Table15[[#This Row],[Category]]="Discretionary","D","O"))</f>
        <v>MED056.E</v>
      </c>
      <c r="B69" s="5">
        <f>MAX(Table14[Count])+ROWS(INDEX(Table15[Count],1):Table15[[#This Row],[Count]])</f>
        <v>56</v>
      </c>
      <c r="C69" s="5" t="s">
        <v>33</v>
      </c>
      <c r="D69" s="5" t="s">
        <v>604</v>
      </c>
      <c r="E69" s="5" t="s">
        <v>13</v>
      </c>
      <c r="F69" s="5"/>
      <c r="G69" s="5"/>
      <c r="H69" s="5"/>
      <c r="I69" s="5"/>
      <c r="J69" s="5"/>
      <c r="K69" s="5"/>
      <c r="L69" s="5"/>
      <c r="M69" s="5" t="s">
        <v>127</v>
      </c>
      <c r="N69" s="5" t="s">
        <v>127</v>
      </c>
      <c r="O69" s="5" t="s">
        <v>127</v>
      </c>
      <c r="P69" s="5" t="s">
        <v>127</v>
      </c>
    </row>
    <row r="71" spans="1:18" x14ac:dyDescent="0.25">
      <c r="A71" s="58" t="s">
        <v>34</v>
      </c>
      <c r="B71" s="58"/>
      <c r="C71" s="58"/>
      <c r="D71" s="58"/>
      <c r="E71" s="58"/>
      <c r="F71" s="58"/>
      <c r="G71" s="58"/>
      <c r="H71" s="58"/>
      <c r="I71" s="58"/>
      <c r="J71" s="58"/>
      <c r="K71" s="58"/>
      <c r="L71" s="58"/>
      <c r="M71" s="58"/>
      <c r="N71" s="58"/>
      <c r="O71" s="58"/>
      <c r="P71" s="58"/>
      <c r="Q71" s="58"/>
      <c r="R71" s="58"/>
    </row>
    <row r="73" spans="1:18" x14ac:dyDescent="0.25">
      <c r="A73" s="6" t="s">
        <v>120</v>
      </c>
      <c r="B73" s="6" t="s">
        <v>121</v>
      </c>
      <c r="C73" s="7" t="s">
        <v>122</v>
      </c>
      <c r="D73" s="7" t="s">
        <v>123</v>
      </c>
      <c r="E73" s="6" t="s">
        <v>8</v>
      </c>
      <c r="F73" s="6" t="s">
        <v>124</v>
      </c>
      <c r="G73" s="6" t="s">
        <v>154</v>
      </c>
      <c r="H73" s="6" t="s">
        <v>155</v>
      </c>
      <c r="I73" s="6" t="s">
        <v>156</v>
      </c>
      <c r="J73" s="6" t="s">
        <v>157</v>
      </c>
      <c r="K73" s="6" t="s">
        <v>158</v>
      </c>
      <c r="L73" s="6" t="s">
        <v>159</v>
      </c>
      <c r="M73" s="6" t="s">
        <v>160</v>
      </c>
      <c r="N73" s="6" t="s">
        <v>161</v>
      </c>
      <c r="O73" s="6" t="s">
        <v>162</v>
      </c>
      <c r="P73" s="6" t="s">
        <v>163</v>
      </c>
      <c r="Q73" s="6" t="s">
        <v>164</v>
      </c>
      <c r="R73" s="7" t="s">
        <v>125</v>
      </c>
    </row>
    <row r="74" spans="1:18" x14ac:dyDescent="0.25">
      <c r="A74" s="5" t="str">
        <f>"MED"&amp;TEXT(Table16[[#This Row],[Count]],"000")&amp;"."&amp;IF(Table16[[#This Row],[Category]]="Essential","E",IF(Table16[[#This Row],[Category]]="Discretionary","D","O"))</f>
        <v>MED057.E</v>
      </c>
      <c r="B74" s="5">
        <f>MAX(Table15[Count])+ROWS(INDEX(Table16[Count],1):Table16[[#This Row],[Count]])</f>
        <v>57</v>
      </c>
      <c r="C74" s="5" t="s">
        <v>34</v>
      </c>
      <c r="D74" s="5" t="s">
        <v>605</v>
      </c>
      <c r="E74" s="5" t="s">
        <v>13</v>
      </c>
      <c r="F74" s="5" t="s">
        <v>127</v>
      </c>
      <c r="G74" s="5"/>
      <c r="H74" s="5"/>
      <c r="I74" s="5"/>
      <c r="J74" s="5"/>
      <c r="K74" s="5"/>
      <c r="L74" s="5"/>
      <c r="M74" s="5"/>
      <c r="N74" s="5"/>
      <c r="O74" s="5"/>
      <c r="P74" s="5"/>
    </row>
    <row r="75" spans="1:18" x14ac:dyDescent="0.25">
      <c r="A75" s="5" t="str">
        <f>"MED"&amp;TEXT(Table16[[#This Row],[Count]],"000")&amp;"."&amp;IF(Table16[[#This Row],[Category]]="Essential","E",IF(Table16[[#This Row],[Category]]="Discretionary","D","O"))</f>
        <v>MED058.E</v>
      </c>
      <c r="B75" s="5">
        <f>MAX(Table15[Count])+ROWS(INDEX(Table16[Count],1):Table16[[#This Row],[Count]])</f>
        <v>58</v>
      </c>
      <c r="C75" s="5" t="s">
        <v>34</v>
      </c>
      <c r="D75" s="5" t="s">
        <v>606</v>
      </c>
      <c r="E75" s="5" t="s">
        <v>13</v>
      </c>
      <c r="F75" s="5" t="s">
        <v>127</v>
      </c>
      <c r="G75" s="5"/>
      <c r="H75" s="5"/>
      <c r="I75" s="5"/>
      <c r="J75" s="5"/>
      <c r="K75" s="5"/>
      <c r="L75" s="5"/>
      <c r="M75" s="5"/>
      <c r="N75" s="5"/>
      <c r="O75" s="5"/>
      <c r="P75" s="5"/>
    </row>
    <row r="76" spans="1:18" x14ac:dyDescent="0.25">
      <c r="A76" s="5" t="str">
        <f>"MED"&amp;TEXT(Table16[[#This Row],[Count]],"000")&amp;"."&amp;IF(Table16[[#This Row],[Category]]="Essential","E",IF(Table16[[#This Row],[Category]]="Discretionary","D","O"))</f>
        <v>MED059.E</v>
      </c>
      <c r="B76" s="5">
        <f>MAX(Table15[Count])+ROWS(INDEX(Table16[Count],1):Table16[[#This Row],[Count]])</f>
        <v>59</v>
      </c>
      <c r="C76" s="5" t="s">
        <v>34</v>
      </c>
      <c r="D76" s="5" t="s">
        <v>607</v>
      </c>
      <c r="E76" s="5" t="s">
        <v>13</v>
      </c>
      <c r="F76" s="5" t="s">
        <v>127</v>
      </c>
      <c r="G76" s="5"/>
      <c r="H76" s="5"/>
      <c r="I76" s="5"/>
      <c r="J76" s="5"/>
      <c r="K76" s="5"/>
      <c r="L76" s="5"/>
      <c r="M76" s="5"/>
      <c r="N76" s="5"/>
      <c r="O76" s="5"/>
      <c r="P76" s="5"/>
    </row>
    <row r="77" spans="1:18" x14ac:dyDescent="0.25">
      <c r="A77" s="5" t="str">
        <f>"MED"&amp;TEXT(Table16[[#This Row],[Count]],"000")&amp;"."&amp;IF(Table16[[#This Row],[Category]]="Essential","E",IF(Table16[[#This Row],[Category]]="Discretionary","D","O"))</f>
        <v>MED060.E</v>
      </c>
      <c r="B77" s="5">
        <f>MAX(Table15[Count])+ROWS(INDEX(Table16[Count],1):Table16[[#This Row],[Count]])</f>
        <v>60</v>
      </c>
      <c r="C77" s="5" t="s">
        <v>34</v>
      </c>
      <c r="D77" s="5" t="s">
        <v>608</v>
      </c>
      <c r="E77" s="5" t="s">
        <v>13</v>
      </c>
      <c r="F77" s="5" t="s">
        <v>127</v>
      </c>
      <c r="G77" s="5"/>
      <c r="H77" s="5"/>
      <c r="I77" s="5"/>
      <c r="J77" s="5"/>
      <c r="K77" s="5"/>
      <c r="L77" s="5"/>
      <c r="M77" s="5"/>
      <c r="N77" s="5"/>
      <c r="O77" s="5"/>
      <c r="P77" s="5"/>
    </row>
    <row r="78" spans="1:18" x14ac:dyDescent="0.25">
      <c r="A78" s="5" t="str">
        <f>"MED"&amp;TEXT(Table16[[#This Row],[Count]],"000")&amp;"."&amp;IF(Table16[[#This Row],[Category]]="Essential","E",IF(Table16[[#This Row],[Category]]="Discretionary","D","O"))</f>
        <v>MED061.E</v>
      </c>
      <c r="B78" s="5">
        <f>MAX(Table15[Count])+ROWS(INDEX(Table16[Count],1):Table16[[#This Row],[Count]])</f>
        <v>61</v>
      </c>
      <c r="C78" s="5" t="s">
        <v>34</v>
      </c>
      <c r="D78" s="5" t="s">
        <v>609</v>
      </c>
      <c r="E78" s="5" t="s">
        <v>13</v>
      </c>
      <c r="F78" s="5" t="s">
        <v>127</v>
      </c>
      <c r="G78" s="5"/>
      <c r="H78" s="5"/>
      <c r="I78" s="5"/>
      <c r="J78" s="5"/>
      <c r="K78" s="5"/>
      <c r="L78" s="5"/>
      <c r="M78" s="5"/>
      <c r="N78" s="5"/>
      <c r="O78" s="5"/>
      <c r="P78" s="5"/>
    </row>
    <row r="79" spans="1:18" x14ac:dyDescent="0.25">
      <c r="A79" s="5" t="str">
        <f>"MED"&amp;TEXT(Table16[[#This Row],[Count]],"000")&amp;"."&amp;IF(Table16[[#This Row],[Category]]="Essential","E",IF(Table16[[#This Row],[Category]]="Discretionary","D","O"))</f>
        <v>MED062.E</v>
      </c>
      <c r="B79" s="5">
        <f>MAX(Table15[Count])+ROWS(INDEX(Table16[Count],1):Table16[[#This Row],[Count]])</f>
        <v>62</v>
      </c>
      <c r="C79" s="5" t="s">
        <v>34</v>
      </c>
      <c r="D79" s="5" t="s">
        <v>610</v>
      </c>
      <c r="E79" s="5" t="s">
        <v>13</v>
      </c>
      <c r="F79" s="5" t="s">
        <v>127</v>
      </c>
      <c r="G79" s="5"/>
      <c r="H79" s="5"/>
      <c r="I79" s="5"/>
      <c r="J79" s="5"/>
      <c r="K79" s="5"/>
      <c r="L79" s="5"/>
      <c r="M79" s="5"/>
      <c r="N79" s="5"/>
      <c r="O79" s="5"/>
      <c r="P79" s="5"/>
    </row>
    <row r="80" spans="1:18" x14ac:dyDescent="0.25">
      <c r="A80" s="5" t="str">
        <f>"MED"&amp;TEXT(Table16[[#This Row],[Count]],"000")&amp;"."&amp;IF(Table16[[#This Row],[Category]]="Essential","E",IF(Table16[[#This Row],[Category]]="Discretionary","D","O"))</f>
        <v>MED063.E</v>
      </c>
      <c r="B80" s="5">
        <f>MAX(Table15[Count])+ROWS(INDEX(Table16[Count],1):Table16[[#This Row],[Count]])</f>
        <v>63</v>
      </c>
      <c r="C80" s="5" t="s">
        <v>34</v>
      </c>
      <c r="D80" s="5" t="s">
        <v>611</v>
      </c>
      <c r="E80" s="5" t="s">
        <v>13</v>
      </c>
      <c r="F80" s="5" t="s">
        <v>127</v>
      </c>
      <c r="G80" s="5"/>
      <c r="H80" s="5"/>
      <c r="I80" s="5"/>
      <c r="J80" s="5"/>
      <c r="K80" s="5"/>
      <c r="L80" s="5"/>
      <c r="M80" s="5"/>
      <c r="N80" s="5"/>
      <c r="O80" s="5"/>
      <c r="P80" s="5"/>
    </row>
    <row r="81" spans="1:18" x14ac:dyDescent="0.25">
      <c r="A81" s="5" t="str">
        <f>"MED"&amp;TEXT(Table16[[#This Row],[Count]],"000")&amp;"."&amp;IF(Table16[[#This Row],[Category]]="Essential","E",IF(Table16[[#This Row],[Category]]="Discretionary","D","O"))</f>
        <v>MED064.E</v>
      </c>
      <c r="B81" s="5">
        <f>MAX(Table15[Count])+ROWS(INDEX(Table16[Count],1):Table16[[#This Row],[Count]])</f>
        <v>64</v>
      </c>
      <c r="C81" s="5" t="s">
        <v>34</v>
      </c>
      <c r="D81" s="5" t="s">
        <v>612</v>
      </c>
      <c r="E81" s="5" t="s">
        <v>13</v>
      </c>
      <c r="F81" s="5" t="s">
        <v>127</v>
      </c>
      <c r="G81" s="5"/>
      <c r="H81" s="5"/>
      <c r="I81" s="5"/>
      <c r="J81" s="5"/>
      <c r="K81" s="5"/>
      <c r="L81" s="5"/>
      <c r="M81" s="5"/>
      <c r="N81" s="5"/>
      <c r="O81" s="5"/>
      <c r="P81" s="5"/>
    </row>
    <row r="82" spans="1:18" ht="30" x14ac:dyDescent="0.25">
      <c r="A82" s="5" t="str">
        <f>"MED"&amp;TEXT(Table16[[#This Row],[Count]],"000")&amp;"."&amp;IF(Table16[[#This Row],[Category]]="Cat 1","1",IF(Table16[[#This Row],[Category]]="Cat 2","2",IF(Table16[[#This Row],[Category]]="Cat 3","3","O")))</f>
        <v>MED065.O</v>
      </c>
      <c r="B82" s="5">
        <f>MAX(Table15[Count])+ROWS(INDEX(Table16[Count],1):Table16[[#This Row],[Count]])</f>
        <v>65</v>
      </c>
      <c r="C82" s="5" t="s">
        <v>34</v>
      </c>
      <c r="D82" s="5" t="s">
        <v>613</v>
      </c>
      <c r="E82" s="5" t="s">
        <v>23</v>
      </c>
      <c r="F82" s="5" t="s">
        <v>127</v>
      </c>
      <c r="G82" s="5"/>
      <c r="H82" s="5"/>
      <c r="I82" s="5"/>
      <c r="J82" s="5"/>
      <c r="K82" s="5"/>
      <c r="L82" s="5"/>
      <c r="M82" s="5"/>
      <c r="N82" s="5"/>
      <c r="O82" s="5"/>
      <c r="P82" s="5"/>
    </row>
    <row r="83" spans="1:18" ht="30" x14ac:dyDescent="0.25">
      <c r="A83" s="5" t="str">
        <f>"MED"&amp;TEXT(Table16[[#This Row],[Count]],"000")&amp;"."&amp;IF(Table16[[#This Row],[Category]]="Cat 1","1",IF(Table16[[#This Row],[Category]]="Cat 2","2",IF(Table16[[#This Row],[Category]]="Cat 3","3","O")))</f>
        <v>MED066.O</v>
      </c>
      <c r="B83" s="5">
        <f>MAX(Table15[Count])+ROWS(INDEX(Table16[Count],1):Table16[[#This Row],[Count]])</f>
        <v>66</v>
      </c>
      <c r="C83" s="5" t="s">
        <v>34</v>
      </c>
      <c r="D83" s="5" t="s">
        <v>614</v>
      </c>
      <c r="E83" s="5" t="s">
        <v>23</v>
      </c>
      <c r="F83" s="5" t="s">
        <v>127</v>
      </c>
      <c r="G83" s="5"/>
      <c r="H83" s="5"/>
      <c r="I83" s="5"/>
      <c r="J83" s="5"/>
      <c r="K83" s="5"/>
      <c r="L83" s="5"/>
      <c r="M83" s="5"/>
      <c r="N83" s="5"/>
      <c r="O83" s="5"/>
      <c r="P83" s="5"/>
    </row>
    <row r="84" spans="1:18" ht="30" x14ac:dyDescent="0.25">
      <c r="A84" s="5" t="str">
        <f>"MED"&amp;TEXT(Table16[[#This Row],[Count]],"000")&amp;"."&amp;IF(Table16[[#This Row],[Category]]="Essential","E",IF(Table16[[#This Row],[Category]]="Discretionary","D","O"))</f>
        <v>MED067.E</v>
      </c>
      <c r="B84" s="5">
        <f>MAX(Table15[Count])+ROWS(INDEX(Table16[Count],1):Table16[[#This Row],[Count]])</f>
        <v>67</v>
      </c>
      <c r="C84" s="5" t="s">
        <v>34</v>
      </c>
      <c r="D84" s="5" t="s">
        <v>615</v>
      </c>
      <c r="E84" s="5" t="s">
        <v>13</v>
      </c>
      <c r="F84" s="5" t="s">
        <v>127</v>
      </c>
      <c r="G84" s="5"/>
      <c r="H84" s="5"/>
      <c r="I84" s="5"/>
      <c r="J84" s="5"/>
      <c r="K84" s="5"/>
      <c r="L84" s="5"/>
      <c r="M84" s="5"/>
      <c r="N84" s="5"/>
      <c r="O84" s="5"/>
      <c r="P84" s="5"/>
    </row>
    <row r="85" spans="1:18" x14ac:dyDescent="0.25">
      <c r="A85" s="5" t="str">
        <f>"MED"&amp;TEXT(Table16[[#This Row],[Count]],"000")&amp;"."&amp;IF(Table16[[#This Row],[Category]]="Essential","E",IF(Table16[[#This Row],[Category]]="Discretionary","D","O"))</f>
        <v>MED068.E</v>
      </c>
      <c r="B85" s="5">
        <f>MAX(Table15[Count])+ROWS(INDEX(Table16[Count],1):Table16[[#This Row],[Count]])</f>
        <v>68</v>
      </c>
      <c r="C85" s="5" t="s">
        <v>34</v>
      </c>
      <c r="D85" s="5" t="s">
        <v>616</v>
      </c>
      <c r="E85" s="5" t="s">
        <v>13</v>
      </c>
      <c r="F85" s="5"/>
      <c r="G85" s="5"/>
      <c r="H85" s="5"/>
      <c r="I85" s="5"/>
      <c r="J85" s="5"/>
      <c r="K85" s="5"/>
      <c r="L85" s="5"/>
      <c r="M85" s="5"/>
      <c r="N85" s="5" t="s">
        <v>127</v>
      </c>
      <c r="O85" s="5" t="s">
        <v>127</v>
      </c>
      <c r="P85" s="5"/>
    </row>
    <row r="86" spans="1:18" x14ac:dyDescent="0.25">
      <c r="A86" s="5" t="str">
        <f>"MED"&amp;TEXT(Table16[[#This Row],[Count]],"000")&amp;"."&amp;IF(Table16[[#This Row],[Category]]="Essential","E",IF(Table16[[#This Row],[Category]]="Discretionary","D","O"))</f>
        <v>MED069.E</v>
      </c>
      <c r="B86" s="5">
        <f>MAX(Table15[Count])+ROWS(INDEX(Table16[Count],1):Table16[[#This Row],[Count]])</f>
        <v>69</v>
      </c>
      <c r="C86" s="5" t="s">
        <v>34</v>
      </c>
      <c r="D86" s="5" t="s">
        <v>617</v>
      </c>
      <c r="E86" s="5" t="s">
        <v>13</v>
      </c>
      <c r="F86" s="5" t="s">
        <v>127</v>
      </c>
      <c r="G86" s="5"/>
      <c r="H86" s="5"/>
      <c r="I86" s="5"/>
      <c r="J86" s="5"/>
      <c r="K86" s="5"/>
      <c r="L86" s="5"/>
      <c r="M86" s="5"/>
      <c r="N86" s="5"/>
      <c r="O86" s="5"/>
      <c r="P86" s="5"/>
    </row>
    <row r="87" spans="1:18" x14ac:dyDescent="0.25">
      <c r="A87" s="5" t="str">
        <f>"MED"&amp;TEXT(Table16[[#This Row],[Count]],"000")&amp;"."&amp;IF(Table16[[#This Row],[Category]]="Essential","E",IF(Table16[[#This Row],[Category]]="Discretionary","D","O"))</f>
        <v>MED070.E</v>
      </c>
      <c r="B87" s="5">
        <f>MAX(Table15[Count])+ROWS(INDEX(Table16[Count],1):Table16[[#This Row],[Count]])</f>
        <v>70</v>
      </c>
      <c r="C87" s="5" t="s">
        <v>34</v>
      </c>
      <c r="D87" s="5" t="s">
        <v>618</v>
      </c>
      <c r="E87" s="5" t="s">
        <v>13</v>
      </c>
      <c r="F87" s="5" t="s">
        <v>127</v>
      </c>
      <c r="G87" s="5"/>
      <c r="H87" s="5"/>
      <c r="I87" s="5"/>
      <c r="J87" s="5"/>
      <c r="K87" s="5"/>
      <c r="L87" s="5"/>
      <c r="M87" s="5"/>
      <c r="N87" s="5"/>
      <c r="O87" s="5"/>
      <c r="P87" s="5"/>
    </row>
    <row r="88" spans="1:18" x14ac:dyDescent="0.25">
      <c r="A88" s="5" t="str">
        <f>"MED"&amp;TEXT(Table16[[#This Row],[Count]],"000")&amp;"."&amp;IF(Table16[[#This Row],[Category]]="Essential","E",IF(Table16[[#This Row],[Category]]="Discretionary","D","O"))</f>
        <v>MED071.E</v>
      </c>
      <c r="B88" s="5">
        <f>MAX(Table15[Count])+ROWS(INDEX(Table16[Count],1):Table16[[#This Row],[Count]])</f>
        <v>71</v>
      </c>
      <c r="C88" s="5" t="s">
        <v>34</v>
      </c>
      <c r="D88" s="5" t="s">
        <v>619</v>
      </c>
      <c r="E88" s="5" t="s">
        <v>13</v>
      </c>
      <c r="F88" s="5" t="s">
        <v>127</v>
      </c>
      <c r="G88" s="5"/>
      <c r="H88" s="5"/>
      <c r="I88" s="5"/>
      <c r="J88" s="5"/>
      <c r="K88" s="5"/>
      <c r="L88" s="5"/>
      <c r="M88" s="5"/>
      <c r="N88" s="5"/>
      <c r="O88" s="5"/>
      <c r="P88" s="5"/>
    </row>
    <row r="89" spans="1:18" x14ac:dyDescent="0.25">
      <c r="A89" s="5" t="str">
        <f>"MED"&amp;TEXT(Table16[[#This Row],[Count]],"000")&amp;"."&amp;IF(Table16[[#This Row],[Category]]="Essential","E",IF(Table16[[#This Row],[Category]]="Discretionary","D","O"))</f>
        <v>MED072.E</v>
      </c>
      <c r="B89" s="5">
        <f>MAX(Table15[Count])+ROWS(INDEX(Table16[Count],1):Table16[[#This Row],[Count]])</f>
        <v>72</v>
      </c>
      <c r="C89" s="5" t="s">
        <v>34</v>
      </c>
      <c r="D89" s="5" t="s">
        <v>620</v>
      </c>
      <c r="E89" s="5" t="s">
        <v>13</v>
      </c>
      <c r="F89" s="5" t="s">
        <v>127</v>
      </c>
      <c r="G89" s="5"/>
      <c r="H89" s="5"/>
      <c r="I89" s="5"/>
      <c r="J89" s="5"/>
      <c r="K89" s="5"/>
      <c r="L89" s="5"/>
      <c r="M89" s="5"/>
      <c r="N89" s="5"/>
      <c r="O89" s="5"/>
      <c r="P89" s="5"/>
    </row>
    <row r="90" spans="1:18" x14ac:dyDescent="0.25">
      <c r="A90" s="5" t="str">
        <f>"MED"&amp;TEXT(Table16[[#This Row],[Count]],"000")&amp;"."&amp;IF(Table16[[#This Row],[Category]]="Essential","E",IF(Table16[[#This Row],[Category]]="Discretionary","D","O"))</f>
        <v>MED073.E</v>
      </c>
      <c r="B90" s="5">
        <f>MAX(Table15[Count])+ROWS(INDEX(Table16[Count],1):Table16[[#This Row],[Count]])</f>
        <v>73</v>
      </c>
      <c r="C90" s="5" t="s">
        <v>34</v>
      </c>
      <c r="D90" s="5" t="s">
        <v>621</v>
      </c>
      <c r="E90" s="5" t="s">
        <v>13</v>
      </c>
      <c r="F90" s="5" t="s">
        <v>127</v>
      </c>
      <c r="G90" s="5"/>
      <c r="H90" s="5"/>
      <c r="I90" s="5"/>
      <c r="J90" s="5"/>
      <c r="K90" s="5"/>
      <c r="L90" s="5"/>
      <c r="M90" s="5"/>
      <c r="N90" s="5"/>
      <c r="O90" s="5"/>
      <c r="P90" s="5"/>
    </row>
    <row r="91" spans="1:18" x14ac:dyDescent="0.25">
      <c r="A91" s="5" t="str">
        <f>"MED"&amp;TEXT(Table16[[#This Row],[Count]],"000")&amp;"."&amp;IF(Table16[[#This Row],[Category]]="Essential","E",IF(Table16[[#This Row],[Category]]="Discretionary","D","O"))</f>
        <v>MED074.E</v>
      </c>
      <c r="B91" s="5">
        <f>MAX(Table15[Count])+ROWS(INDEX(Table16[Count],1):Table16[[#This Row],[Count]])</f>
        <v>74</v>
      </c>
      <c r="C91" s="5" t="s">
        <v>34</v>
      </c>
      <c r="D91" s="5" t="s">
        <v>622</v>
      </c>
      <c r="E91" s="5" t="s">
        <v>13</v>
      </c>
      <c r="F91" s="5"/>
      <c r="G91" s="5"/>
      <c r="H91" s="5"/>
      <c r="I91" s="5"/>
      <c r="J91" s="5"/>
      <c r="K91" s="5"/>
      <c r="L91" s="5"/>
      <c r="M91" s="5"/>
      <c r="N91" s="5" t="s">
        <v>127</v>
      </c>
      <c r="O91" s="5" t="s">
        <v>127</v>
      </c>
      <c r="P91" s="5"/>
    </row>
    <row r="92" spans="1:18" ht="30" x14ac:dyDescent="0.25">
      <c r="A92" s="5" t="str">
        <f>"MED"&amp;TEXT(Table16[[#This Row],[Count]],"000")&amp;"."&amp;IF(Table16[[#This Row],[Category]]="Essential","E",IF(Table16[[#This Row],[Category]]="Discretionary","D","O"))</f>
        <v>MED075.E</v>
      </c>
      <c r="B92" s="5">
        <f>MAX(Table15[Count])+ROWS(INDEX(Table16[Count],1):Table16[[#This Row],[Count]])</f>
        <v>75</v>
      </c>
      <c r="C92" s="5" t="s">
        <v>34</v>
      </c>
      <c r="D92" s="5" t="s">
        <v>623</v>
      </c>
      <c r="E92" s="5" t="s">
        <v>13</v>
      </c>
      <c r="F92" s="5" t="s">
        <v>127</v>
      </c>
      <c r="G92" s="5"/>
      <c r="H92" s="5"/>
      <c r="I92" s="5"/>
      <c r="J92" s="5"/>
      <c r="K92" s="5"/>
      <c r="L92" s="5"/>
      <c r="M92" s="5"/>
      <c r="N92" s="5"/>
      <c r="O92" s="5"/>
      <c r="P92" s="5"/>
    </row>
    <row r="93" spans="1:18" ht="30" x14ac:dyDescent="0.25">
      <c r="A93" s="5" t="str">
        <f>"MED"&amp;TEXT(Table16[[#This Row],[Count]],"000")&amp;"."&amp;IF(Table16[[#This Row],[Category]]="Essential","E",IF(Table16[[#This Row],[Category]]="Discretionary","D","O"))</f>
        <v>MED076.E</v>
      </c>
      <c r="B93" s="5">
        <f>MAX(Table15[Count])+ROWS(INDEX(Table16[Count],1):Table16[[#This Row],[Count]])</f>
        <v>76</v>
      </c>
      <c r="C93" s="5" t="s">
        <v>34</v>
      </c>
      <c r="D93" s="5" t="s">
        <v>624</v>
      </c>
      <c r="E93" s="5" t="s">
        <v>13</v>
      </c>
      <c r="F93" s="5" t="s">
        <v>127</v>
      </c>
      <c r="G93" s="5"/>
      <c r="H93" s="5"/>
      <c r="I93" s="5"/>
      <c r="J93" s="5"/>
      <c r="K93" s="5"/>
      <c r="L93" s="5"/>
      <c r="M93" s="5"/>
      <c r="N93" s="5"/>
      <c r="O93" s="5"/>
      <c r="P93" s="5"/>
    </row>
    <row r="94" spans="1:18" x14ac:dyDescent="0.25">
      <c r="A94" s="5" t="str">
        <f>"MED"&amp;TEXT(Table16[[#This Row],[Count]],"000")&amp;"."&amp;IF(Table16[[#This Row],[Category]]="Essential","E",IF(Table16[[#This Row],[Category]]="Discretionary","D","O"))</f>
        <v>MED077.E</v>
      </c>
      <c r="B94" s="5">
        <f>MAX(Table15[Count])+ROWS(INDEX(Table16[Count],1):Table16[[#This Row],[Count]])</f>
        <v>77</v>
      </c>
      <c r="C94" s="5" t="s">
        <v>34</v>
      </c>
      <c r="D94" s="5" t="s">
        <v>625</v>
      </c>
      <c r="E94" s="5" t="s">
        <v>13</v>
      </c>
      <c r="F94" s="5" t="s">
        <v>127</v>
      </c>
      <c r="G94" s="5"/>
      <c r="H94" s="5"/>
      <c r="I94" s="5"/>
      <c r="J94" s="5"/>
      <c r="K94" s="5"/>
      <c r="L94" s="5"/>
      <c r="M94" s="5"/>
      <c r="N94" s="5"/>
      <c r="O94" s="5"/>
      <c r="P94" s="5"/>
    </row>
    <row r="95" spans="1:18" x14ac:dyDescent="0.25">
      <c r="A95" s="5" t="str">
        <f>"MED"&amp;TEXT(Table16[[#This Row],[Count]],"000")&amp;"."&amp;IF(Table16[[#This Row],[Category]]="Cat 1","1",IF(Table16[[#This Row],[Category]]="Cat 2","2",IF(Table16[[#This Row],[Category]]="Cat 3","3","O")))</f>
        <v>MED078.O</v>
      </c>
      <c r="B95" s="5">
        <f>MAX(Table15[Count])+ROWS(INDEX(Table16[Count],1):Table16[[#This Row],[Count]])</f>
        <v>78</v>
      </c>
      <c r="C95" s="5" t="s">
        <v>34</v>
      </c>
      <c r="D95" s="5" t="s">
        <v>626</v>
      </c>
      <c r="E95" s="5" t="s">
        <v>13</v>
      </c>
      <c r="F95" s="5" t="s">
        <v>127</v>
      </c>
      <c r="G95" s="5"/>
      <c r="H95" s="5"/>
      <c r="I95" s="5"/>
      <c r="J95" s="5"/>
      <c r="K95" s="5"/>
      <c r="L95" s="5"/>
      <c r="M95" s="5"/>
      <c r="N95" s="5"/>
      <c r="O95" s="5"/>
      <c r="P95" s="5"/>
    </row>
    <row r="96" spans="1:18" x14ac:dyDescent="0.25">
      <c r="A96" s="58" t="s">
        <v>36</v>
      </c>
      <c r="B96" s="58"/>
      <c r="C96" s="58"/>
      <c r="D96" s="58"/>
      <c r="E96" s="58"/>
      <c r="F96" s="58"/>
      <c r="G96" s="58"/>
      <c r="H96" s="58"/>
      <c r="I96" s="58"/>
      <c r="J96" s="58"/>
      <c r="K96" s="58"/>
      <c r="L96" s="58"/>
      <c r="M96" s="58"/>
      <c r="N96" s="58"/>
      <c r="O96" s="58"/>
      <c r="P96" s="58"/>
      <c r="Q96" s="58"/>
      <c r="R96" s="58"/>
    </row>
    <row r="98" spans="1:18" x14ac:dyDescent="0.25">
      <c r="A98" s="6" t="s">
        <v>120</v>
      </c>
      <c r="B98" s="6" t="s">
        <v>121</v>
      </c>
      <c r="C98" s="6" t="s">
        <v>122</v>
      </c>
      <c r="D98" s="7" t="s">
        <v>123</v>
      </c>
      <c r="E98" s="6" t="s">
        <v>8</v>
      </c>
      <c r="F98" s="6" t="s">
        <v>124</v>
      </c>
      <c r="G98" s="6" t="s">
        <v>154</v>
      </c>
      <c r="H98" s="6" t="s">
        <v>155</v>
      </c>
      <c r="I98" s="6" t="s">
        <v>156</v>
      </c>
      <c r="J98" s="6" t="s">
        <v>157</v>
      </c>
      <c r="K98" s="6" t="s">
        <v>158</v>
      </c>
      <c r="L98" s="6" t="s">
        <v>159</v>
      </c>
      <c r="M98" s="6" t="s">
        <v>160</v>
      </c>
      <c r="N98" s="6" t="s">
        <v>161</v>
      </c>
      <c r="O98" s="6" t="s">
        <v>162</v>
      </c>
      <c r="P98" s="6" t="s">
        <v>163</v>
      </c>
      <c r="Q98" s="6" t="s">
        <v>164</v>
      </c>
      <c r="R98" s="7" t="s">
        <v>125</v>
      </c>
    </row>
    <row r="99" spans="1:18" ht="45" x14ac:dyDescent="0.25">
      <c r="A99" s="2" t="str">
        <f>"MED"&amp;TEXT(Table17[[#This Row],[Count]],"000")&amp;"."&amp;IF(Table17[[#This Row],[Category]]="Essential","E",IF(Table17[[#This Row],[Category]]="Discretionary","D","O"))</f>
        <v>MED079.E</v>
      </c>
      <c r="B99" s="2">
        <f>MAX(Table16[Count])+ROWS(INDEX(Table17[Count],1):Table17[[#This Row],[Count]])</f>
        <v>79</v>
      </c>
      <c r="C99" s="2" t="s">
        <v>36</v>
      </c>
      <c r="D99" s="5" t="s">
        <v>627</v>
      </c>
      <c r="E99" s="2" t="s">
        <v>13</v>
      </c>
      <c r="F99" s="2" t="s">
        <v>127</v>
      </c>
      <c r="Q99" s="2"/>
    </row>
    <row r="100" spans="1:18" ht="45" x14ac:dyDescent="0.25">
      <c r="A100" s="2" t="str">
        <f>"MED"&amp;TEXT(Table17[[#This Row],[Count]],"000")&amp;"."&amp;IF(Table17[[#This Row],[Category]]="Essential","E",IF(Table17[[#This Row],[Category]]="Discretionary","D","O"))</f>
        <v>MED080.E</v>
      </c>
      <c r="B100" s="2">
        <f>MAX(Table16[Count])+ROWS(INDEX(Table17[Count],1):Table17[[#This Row],[Count]])</f>
        <v>80</v>
      </c>
      <c r="C100" s="2" t="s">
        <v>36</v>
      </c>
      <c r="D100" s="5" t="s">
        <v>628</v>
      </c>
      <c r="E100" s="2" t="s">
        <v>13</v>
      </c>
      <c r="F100" s="2" t="s">
        <v>127</v>
      </c>
      <c r="L100" s="2" t="s">
        <v>127</v>
      </c>
      <c r="M100" s="2" t="s">
        <v>127</v>
      </c>
      <c r="Q100" s="2"/>
    </row>
    <row r="101" spans="1:18" ht="45" x14ac:dyDescent="0.25">
      <c r="A101" s="2" t="str">
        <f>"MED"&amp;TEXT(Table17[[#This Row],[Count]],"000")&amp;"."&amp;IF(Table17[[#This Row],[Category]]="Essential","E",IF(Table17[[#This Row],[Category]]="Discretionary","D","O"))</f>
        <v>MED081.E</v>
      </c>
      <c r="B101" s="2">
        <f>MAX(Table16[Count])+ROWS(INDEX(Table17[Count],1):Table17[[#This Row],[Count]])</f>
        <v>81</v>
      </c>
      <c r="C101" s="2" t="s">
        <v>36</v>
      </c>
      <c r="D101" s="5" t="s">
        <v>629</v>
      </c>
      <c r="E101" s="2" t="s">
        <v>13</v>
      </c>
      <c r="L101" s="2" t="s">
        <v>127</v>
      </c>
      <c r="M101" s="2" t="s">
        <v>127</v>
      </c>
      <c r="N101" s="2" t="s">
        <v>127</v>
      </c>
      <c r="O101" s="2" t="s">
        <v>127</v>
      </c>
      <c r="Q101" s="2"/>
    </row>
    <row r="102" spans="1:18" ht="30" x14ac:dyDescent="0.25">
      <c r="A102" s="2" t="str">
        <f>"MED"&amp;TEXT(Table17[[#This Row],[Count]],"000")&amp;"."&amp;IF(Table17[[#This Row],[Category]]="Essential","E",IF(Table17[[#This Row],[Category]]="Discretionary","D","O"))</f>
        <v>MED082.E</v>
      </c>
      <c r="B102" s="2">
        <f>MAX(Table16[Count])+ROWS(INDEX(Table17[Count],1):Table17[[#This Row],[Count]])</f>
        <v>82</v>
      </c>
      <c r="C102" s="2" t="s">
        <v>36</v>
      </c>
      <c r="D102" s="5" t="s">
        <v>630</v>
      </c>
      <c r="E102" s="2" t="s">
        <v>13</v>
      </c>
      <c r="F102" s="2" t="s">
        <v>127</v>
      </c>
      <c r="Q102" s="2"/>
    </row>
    <row r="103" spans="1:18" ht="45" x14ac:dyDescent="0.25">
      <c r="A103" s="2" t="str">
        <f>"MED"&amp;TEXT(Table17[[#This Row],[Count]],"000")&amp;"."&amp;IF(Table17[[#This Row],[Category]]="Essential","E",IF(Table17[[#This Row],[Category]]="Discretionary","D","O"))</f>
        <v>MED083.E</v>
      </c>
      <c r="B103" s="2">
        <f>MAX(Table16[Count])+ROWS(INDEX(Table17[Count],1):Table17[[#This Row],[Count]])</f>
        <v>83</v>
      </c>
      <c r="C103" s="2" t="s">
        <v>36</v>
      </c>
      <c r="D103" s="5" t="s">
        <v>631</v>
      </c>
      <c r="E103" s="2" t="s">
        <v>13</v>
      </c>
      <c r="F103" s="2" t="s">
        <v>127</v>
      </c>
      <c r="Q103" s="2"/>
    </row>
    <row r="104" spans="1:18" ht="60" x14ac:dyDescent="0.25">
      <c r="A104" s="2" t="str">
        <f>"MED"&amp;TEXT(Table17[[#This Row],[Count]],"000")&amp;"."&amp;IF(Table17[[#This Row],[Category]]="Essential","E",IF(Table17[[#This Row],[Category]]="Discretionary","D","O"))</f>
        <v>MED084.E</v>
      </c>
      <c r="B104" s="2">
        <f>MAX(Table16[Count])+ROWS(INDEX(Table17[Count],1):Table17[[#This Row],[Count]])</f>
        <v>84</v>
      </c>
      <c r="C104" s="2" t="s">
        <v>36</v>
      </c>
      <c r="D104" s="5" t="s">
        <v>632</v>
      </c>
      <c r="E104" s="2" t="s">
        <v>13</v>
      </c>
      <c r="F104" s="2" t="s">
        <v>127</v>
      </c>
      <c r="Q104" s="2"/>
    </row>
    <row r="106" spans="1:18" x14ac:dyDescent="0.25">
      <c r="A106" s="58" t="s">
        <v>39</v>
      </c>
      <c r="B106" s="58"/>
      <c r="C106" s="58"/>
      <c r="D106" s="58"/>
      <c r="E106" s="58"/>
      <c r="F106" s="58"/>
      <c r="G106" s="58"/>
      <c r="H106" s="58"/>
      <c r="I106" s="58"/>
      <c r="J106" s="58"/>
      <c r="K106" s="58"/>
      <c r="L106" s="58"/>
      <c r="M106" s="58"/>
      <c r="N106" s="58"/>
      <c r="O106" s="58"/>
      <c r="P106" s="58"/>
      <c r="Q106" s="58"/>
      <c r="R106" s="58"/>
    </row>
    <row r="108" spans="1:18" x14ac:dyDescent="0.25">
      <c r="A108" s="6" t="s">
        <v>120</v>
      </c>
      <c r="B108" s="6" t="s">
        <v>121</v>
      </c>
      <c r="C108" s="7" t="s">
        <v>122</v>
      </c>
      <c r="D108" s="7" t="s">
        <v>123</v>
      </c>
      <c r="E108" s="6" t="s">
        <v>8</v>
      </c>
      <c r="F108" s="6" t="s">
        <v>124</v>
      </c>
      <c r="G108" s="6" t="s">
        <v>154</v>
      </c>
      <c r="H108" s="6" t="s">
        <v>155</v>
      </c>
      <c r="I108" s="6" t="s">
        <v>156</v>
      </c>
      <c r="J108" s="6" t="s">
        <v>157</v>
      </c>
      <c r="K108" s="6" t="s">
        <v>158</v>
      </c>
      <c r="L108" s="6" t="s">
        <v>159</v>
      </c>
      <c r="M108" s="6" t="s">
        <v>160</v>
      </c>
      <c r="N108" s="6" t="s">
        <v>161</v>
      </c>
      <c r="O108" s="6" t="s">
        <v>162</v>
      </c>
      <c r="P108" s="6" t="s">
        <v>163</v>
      </c>
      <c r="Q108" s="7" t="s">
        <v>164</v>
      </c>
      <c r="R108" s="7" t="s">
        <v>125</v>
      </c>
    </row>
    <row r="109" spans="1:18" ht="30" x14ac:dyDescent="0.25">
      <c r="A109" s="2" t="str">
        <f>"MED"&amp;TEXT(Table18[[#This Row],[Count]],"000")&amp;"."&amp;IF(Table18[[#This Row],[Category]]="Essential","E",IF(Table18[[#This Row],[Category]]="Discretionary","D","O"))</f>
        <v>MED085.E</v>
      </c>
      <c r="B109" s="2">
        <f>MAX(Table17[Count])+ROWS(INDEX(Table18[Count],1):Table18[[#This Row],[Count]])</f>
        <v>85</v>
      </c>
      <c r="C109" s="5" t="s">
        <v>39</v>
      </c>
      <c r="D109" s="5" t="s">
        <v>633</v>
      </c>
      <c r="E109" s="2" t="s">
        <v>13</v>
      </c>
      <c r="F109" s="2" t="s">
        <v>127</v>
      </c>
    </row>
    <row r="110" spans="1:18" x14ac:dyDescent="0.25">
      <c r="A110" s="2" t="str">
        <f>"MED"&amp;TEXT(Table18[[#This Row],[Count]],"000")&amp;"."&amp;IF(Table18[[#This Row],[Category]]="Essential","E",IF(Table18[[#This Row],[Category]]="Discretionary","D","O"))</f>
        <v>MED086.E</v>
      </c>
      <c r="B110" s="2">
        <f>MAX(Table17[Count])+ROWS(INDEX(Table18[Count],1):Table18[[#This Row],[Count]])</f>
        <v>86</v>
      </c>
      <c r="C110" s="5" t="s">
        <v>39</v>
      </c>
      <c r="D110" s="5" t="s">
        <v>634</v>
      </c>
      <c r="E110" s="2" t="s">
        <v>13</v>
      </c>
      <c r="F110" s="2" t="s">
        <v>127</v>
      </c>
    </row>
    <row r="111" spans="1:18" ht="45" x14ac:dyDescent="0.25">
      <c r="A111" s="2" t="str">
        <f>"MED"&amp;TEXT(Table18[[#This Row],[Count]],"000")&amp;"."&amp;IF(Table18[[#This Row],[Category]]="Essential","E",IF(Table18[[#This Row],[Category]]="Discretionary","D","O"))</f>
        <v>MED087.E</v>
      </c>
      <c r="B111" s="2">
        <f>MAX(Table17[Count])+ROWS(INDEX(Table18[Count],1):Table18[[#This Row],[Count]])</f>
        <v>87</v>
      </c>
      <c r="C111" s="5" t="s">
        <v>39</v>
      </c>
      <c r="D111" s="5" t="s">
        <v>635</v>
      </c>
      <c r="E111" s="2" t="s">
        <v>13</v>
      </c>
      <c r="F111" s="2" t="s">
        <v>127</v>
      </c>
    </row>
    <row r="112" spans="1:18" ht="30" x14ac:dyDescent="0.25">
      <c r="A112" s="2" t="str">
        <f>"MED"&amp;TEXT(Table18[[#This Row],[Count]],"000")&amp;"."&amp;IF(Table18[[#This Row],[Category]]="Essential","E",IF(Table18[[#This Row],[Category]]="Discretionary","D","O"))</f>
        <v>MED088.E</v>
      </c>
      <c r="B112" s="2">
        <f>MAX(Table17[Count])+ROWS(INDEX(Table18[Count],1):Table18[[#This Row],[Count]])</f>
        <v>88</v>
      </c>
      <c r="C112" s="5" t="s">
        <v>39</v>
      </c>
      <c r="D112" s="5" t="s">
        <v>636</v>
      </c>
      <c r="E112" s="2" t="s">
        <v>13</v>
      </c>
      <c r="O112" s="2" t="s">
        <v>127</v>
      </c>
      <c r="P112" s="2" t="s">
        <v>127</v>
      </c>
      <c r="R112" s="5" t="s">
        <v>637</v>
      </c>
    </row>
    <row r="113" spans="1:18" ht="30" x14ac:dyDescent="0.25">
      <c r="A113" s="2" t="str">
        <f>"MED"&amp;TEXT(Table18[[#This Row],[Count]],"000")&amp;"."&amp;IF(Table18[[#This Row],[Category]]="Essential","E",IF(Table18[[#This Row],[Category]]="Discretionary","D","O"))</f>
        <v>MED089.E</v>
      </c>
      <c r="B113" s="2">
        <f>MAX(Table17[Count])+ROWS(INDEX(Table18[Count],1):Table18[[#This Row],[Count]])</f>
        <v>89</v>
      </c>
      <c r="C113" s="5" t="s">
        <v>39</v>
      </c>
      <c r="D113" s="5" t="s">
        <v>638</v>
      </c>
      <c r="E113" s="2" t="s">
        <v>13</v>
      </c>
      <c r="M113" s="2" t="s">
        <v>127</v>
      </c>
      <c r="N113" s="2" t="s">
        <v>127</v>
      </c>
      <c r="O113" s="2" t="s">
        <v>127</v>
      </c>
      <c r="P113" s="2" t="s">
        <v>127</v>
      </c>
    </row>
    <row r="114" spans="1:18" ht="30" x14ac:dyDescent="0.25">
      <c r="A114" s="2" t="str">
        <f>"MED"&amp;TEXT(Table18[[#This Row],[Count]],"000")&amp;"."&amp;IF(Table18[[#This Row],[Category]]="Essential","E",IF(Table18[[#This Row],[Category]]="Discretionary","D","O"))</f>
        <v>MED090.E</v>
      </c>
      <c r="B114" s="2">
        <f>MAX(Table17[Count])+ROWS(INDEX(Table18[Count],1):Table18[[#This Row],[Count]])</f>
        <v>90</v>
      </c>
      <c r="C114" s="5" t="s">
        <v>39</v>
      </c>
      <c r="D114" s="5" t="s">
        <v>639</v>
      </c>
      <c r="E114" s="2" t="s">
        <v>13</v>
      </c>
      <c r="F114" s="2" t="s">
        <v>127</v>
      </c>
    </row>
    <row r="115" spans="1:18" ht="30" x14ac:dyDescent="0.25">
      <c r="A115" s="2" t="str">
        <f>"MED"&amp;TEXT(Table18[[#This Row],[Count]],"000")&amp;"."&amp;IF(Table18[[#This Row],[Category]]="Essential","E",IF(Table18[[#This Row],[Category]]="Discretionary","D","O"))</f>
        <v>MED091.E</v>
      </c>
      <c r="B115" s="2">
        <f>MAX(Table17[Count])+ROWS(INDEX(Table18[Count],1):Table18[[#This Row],[Count]])</f>
        <v>91</v>
      </c>
      <c r="C115" s="5" t="s">
        <v>39</v>
      </c>
      <c r="D115" s="5" t="s">
        <v>640</v>
      </c>
      <c r="E115" s="2" t="s">
        <v>13</v>
      </c>
      <c r="F115" s="2" t="s">
        <v>127</v>
      </c>
    </row>
    <row r="116" spans="1:18" ht="30" x14ac:dyDescent="0.25">
      <c r="A116" s="2" t="str">
        <f>"MED"&amp;TEXT(Table18[[#This Row],[Count]],"000")&amp;"."&amp;IF(Table18[[#This Row],[Category]]="Essential","E",IF(Table18[[#This Row],[Category]]="Discretionary","D","O"))</f>
        <v>MED092.E</v>
      </c>
      <c r="B116" s="2">
        <f>MAX(Table17[Count])+ROWS(INDEX(Table18[Count],1):Table18[[#This Row],[Count]])</f>
        <v>92</v>
      </c>
      <c r="C116" s="5" t="s">
        <v>39</v>
      </c>
      <c r="D116" s="5" t="s">
        <v>641</v>
      </c>
      <c r="E116" s="2" t="s">
        <v>13</v>
      </c>
      <c r="N116" s="2" t="s">
        <v>127</v>
      </c>
      <c r="O116" s="2" t="s">
        <v>127</v>
      </c>
      <c r="P116" s="2" t="s">
        <v>127</v>
      </c>
    </row>
    <row r="117" spans="1:18" ht="30" x14ac:dyDescent="0.25">
      <c r="A117" s="2" t="str">
        <f>"MED"&amp;TEXT(Table18[[#This Row],[Count]],"000")&amp;"."&amp;IF(Table18[[#This Row],[Category]]="Essential","E",IF(Table18[[#This Row],[Category]]="Discretionary","D","O"))</f>
        <v>MED093.E</v>
      </c>
      <c r="B117" s="2">
        <f>MAX(Table17[Count])+ROWS(INDEX(Table18[Count],1):Table18[[#This Row],[Count]])</f>
        <v>93</v>
      </c>
      <c r="C117" s="5" t="s">
        <v>39</v>
      </c>
      <c r="D117" s="5" t="s">
        <v>642</v>
      </c>
      <c r="E117" s="2" t="s">
        <v>13</v>
      </c>
      <c r="F117" s="2" t="s">
        <v>127</v>
      </c>
    </row>
    <row r="118" spans="1:18" x14ac:dyDescent="0.25">
      <c r="A118" s="2" t="str">
        <f>"MED"&amp;TEXT(Table18[[#This Row],[Count]],"000")&amp;"."&amp;IF(Table18[[#This Row],[Category]]="Essential","E",IF(Table18[[#This Row],[Category]]="Discretionary","D","O"))</f>
        <v>MED094.E</v>
      </c>
      <c r="B118" s="2">
        <f>MAX(Table17[Count])+ROWS(INDEX(Table18[Count],1):Table18[[#This Row],[Count]])</f>
        <v>94</v>
      </c>
      <c r="C118" s="5" t="s">
        <v>39</v>
      </c>
      <c r="D118" s="5" t="s">
        <v>643</v>
      </c>
      <c r="E118" s="2" t="s">
        <v>13</v>
      </c>
      <c r="L118" s="2" t="s">
        <v>127</v>
      </c>
      <c r="M118" s="2" t="s">
        <v>127</v>
      </c>
      <c r="N118" s="2" t="s">
        <v>127</v>
      </c>
      <c r="O118" s="2" t="s">
        <v>127</v>
      </c>
      <c r="P118" s="2" t="s">
        <v>127</v>
      </c>
      <c r="R118" s="5" t="s">
        <v>644</v>
      </c>
    </row>
    <row r="119" spans="1:18" ht="45" x14ac:dyDescent="0.25">
      <c r="A119" s="2" t="str">
        <f>"MED"&amp;TEXT(Table18[[#This Row],[Count]],"000")&amp;"."&amp;IF(Table18[[#This Row],[Category]]="Essential","E",IF(Table18[[#This Row],[Category]]="Discretionary","D","O"))</f>
        <v>MED095.E</v>
      </c>
      <c r="B119" s="2">
        <f>MAX(Table17[Count])+ROWS(INDEX(Table18[Count],1):Table18[[#This Row],[Count]])</f>
        <v>95</v>
      </c>
      <c r="C119" s="5" t="s">
        <v>39</v>
      </c>
      <c r="D119" s="5" t="s">
        <v>645</v>
      </c>
      <c r="E119" s="2" t="s">
        <v>13</v>
      </c>
      <c r="N119" s="2" t="s">
        <v>127</v>
      </c>
      <c r="O119" s="2" t="s">
        <v>127</v>
      </c>
      <c r="P119" s="2" t="s">
        <v>127</v>
      </c>
    </row>
    <row r="120" spans="1:18" ht="30" x14ac:dyDescent="0.25">
      <c r="A120" s="2" t="str">
        <f>"MED"&amp;TEXT(Table18[[#This Row],[Count]],"000")&amp;"."&amp;IF(Table18[[#This Row],[Category]]="Essential","E",IF(Table18[[#This Row],[Category]]="Discretionary","D","O"))</f>
        <v>MED096.E</v>
      </c>
      <c r="B120" s="2">
        <f>MAX(Table17[Count])+ROWS(INDEX(Table18[Count],1):Table18[[#This Row],[Count]])</f>
        <v>96</v>
      </c>
      <c r="C120" s="5" t="s">
        <v>39</v>
      </c>
      <c r="D120" s="5" t="s">
        <v>646</v>
      </c>
      <c r="E120" s="2" t="s">
        <v>13</v>
      </c>
      <c r="F120" s="2" t="s">
        <v>127</v>
      </c>
    </row>
    <row r="121" spans="1:18" ht="30" x14ac:dyDescent="0.25">
      <c r="A121" s="2" t="str">
        <f>"MED"&amp;TEXT(Table18[[#This Row],[Count]],"000")&amp;"."&amp;IF(Table18[[#This Row],[Category]]="Essential","E",IF(Table18[[#This Row],[Category]]="Discretionary","D","O"))</f>
        <v>MED097.E</v>
      </c>
      <c r="B121" s="2">
        <f>MAX(Table17[Count])+ROWS(INDEX(Table18[Count],1):Table18[[#This Row],[Count]])</f>
        <v>97</v>
      </c>
      <c r="C121" s="5" t="s">
        <v>39</v>
      </c>
      <c r="D121" s="5" t="s">
        <v>647</v>
      </c>
      <c r="E121" s="2" t="s">
        <v>13</v>
      </c>
      <c r="F121" s="2" t="s">
        <v>127</v>
      </c>
    </row>
    <row r="122" spans="1:18" ht="30" x14ac:dyDescent="0.25">
      <c r="A122" s="2" t="str">
        <f>"MED"&amp;TEXT(Table18[[#This Row],[Count]],"000")&amp;"."&amp;IF(Table18[[#This Row],[Category]]="Essential","E",IF(Table18[[#This Row],[Category]]="Discretionary","D","O"))</f>
        <v>MED098.E</v>
      </c>
      <c r="B122" s="2">
        <f>MAX(Table17[Count])+ROWS(INDEX(Table18[Count],1):Table18[[#This Row],[Count]])</f>
        <v>98</v>
      </c>
      <c r="C122" s="5" t="s">
        <v>39</v>
      </c>
      <c r="D122" s="5" t="s">
        <v>648</v>
      </c>
      <c r="E122" s="2" t="s">
        <v>13</v>
      </c>
      <c r="N122" s="2" t="s">
        <v>127</v>
      </c>
      <c r="O122" s="2" t="s">
        <v>127</v>
      </c>
      <c r="P122" s="2" t="s">
        <v>127</v>
      </c>
    </row>
    <row r="123" spans="1:18" x14ac:dyDescent="0.25">
      <c r="A123" s="2" t="str">
        <f>"MED"&amp;TEXT(Table18[[#This Row],[Count]],"000")&amp;"."&amp;IF(Table18[[#This Row],[Category]]="Essential","E",IF(Table18[[#This Row],[Category]]="Discretionary","D","O"))</f>
        <v>MED099.E</v>
      </c>
      <c r="B123" s="2">
        <f>MAX(Table17[Count])+ROWS(INDEX(Table18[Count],1):Table18[[#This Row],[Count]])</f>
        <v>99</v>
      </c>
      <c r="C123" s="5" t="s">
        <v>39</v>
      </c>
      <c r="D123" s="5" t="s">
        <v>649</v>
      </c>
      <c r="E123" s="2" t="s">
        <v>13</v>
      </c>
      <c r="F123" s="2" t="s">
        <v>127</v>
      </c>
    </row>
    <row r="124" spans="1:18" ht="30" x14ac:dyDescent="0.25">
      <c r="A124" s="2" t="str">
        <f>"MED"&amp;TEXT(Table18[[#This Row],[Count]],"000")&amp;"."&amp;IF(Table18[[#This Row],[Category]]="Essential","E",IF(Table18[[#This Row],[Category]]="Discretionary","D","O"))</f>
        <v>MED100.E</v>
      </c>
      <c r="B124" s="2">
        <f>MAX(Table17[Count])+ROWS(INDEX(Table18[Count],1):Table18[[#This Row],[Count]])</f>
        <v>100</v>
      </c>
      <c r="C124" s="5" t="s">
        <v>39</v>
      </c>
      <c r="D124" s="5" t="s">
        <v>650</v>
      </c>
      <c r="E124" s="2" t="s">
        <v>13</v>
      </c>
      <c r="F124" s="2" t="s">
        <v>127</v>
      </c>
    </row>
    <row r="125" spans="1:18" ht="30" x14ac:dyDescent="0.25">
      <c r="A125" s="2" t="str">
        <f>"MED"&amp;TEXT(Table18[[#This Row],[Count]],"000")&amp;"."&amp;IF(Table18[[#This Row],[Category]]="Essential","E",IF(Table18[[#This Row],[Category]]="Discretionary","D","O"))</f>
        <v>MED101.E</v>
      </c>
      <c r="B125" s="2">
        <f>MAX(Table17[Count])+ROWS(INDEX(Table18[Count],1):Table18[[#This Row],[Count]])</f>
        <v>101</v>
      </c>
      <c r="C125" s="5" t="s">
        <v>39</v>
      </c>
      <c r="D125" s="5" t="s">
        <v>651</v>
      </c>
      <c r="E125" s="2" t="s">
        <v>13</v>
      </c>
      <c r="F125" s="2" t="s">
        <v>127</v>
      </c>
    </row>
    <row r="126" spans="1:18" ht="30" x14ac:dyDescent="0.25">
      <c r="A126" s="2" t="str">
        <f>"MED"&amp;TEXT(Table18[[#This Row],[Count]],"000")&amp;"."&amp;IF(Table18[[#This Row],[Category]]="Essential","E",IF(Table18[[#This Row],[Category]]="Discretionary","D","O"))</f>
        <v>MED102.E</v>
      </c>
      <c r="B126" s="2">
        <f>MAX(Table17[Count])+ROWS(INDEX(Table18[Count],1):Table18[[#This Row],[Count]])</f>
        <v>102</v>
      </c>
      <c r="C126" s="5" t="s">
        <v>39</v>
      </c>
      <c r="D126" s="5" t="s">
        <v>652</v>
      </c>
      <c r="E126" s="2" t="s">
        <v>13</v>
      </c>
      <c r="F126" s="2" t="s">
        <v>127</v>
      </c>
    </row>
    <row r="127" spans="1:18" ht="30" x14ac:dyDescent="0.25">
      <c r="A127" s="2" t="str">
        <f>"MED"&amp;TEXT(Table18[[#This Row],[Count]],"000")&amp;"."&amp;IF(Table18[[#This Row],[Category]]="Essential","E",IF(Table18[[#This Row],[Category]]="Discretionary","D","O"))</f>
        <v>MED103.E</v>
      </c>
      <c r="B127" s="2">
        <f>MAX(Table17[Count])+ROWS(INDEX(Table18[Count],1):Table18[[#This Row],[Count]])</f>
        <v>103</v>
      </c>
      <c r="C127" s="5" t="s">
        <v>39</v>
      </c>
      <c r="D127" s="5" t="s">
        <v>653</v>
      </c>
      <c r="E127" s="2" t="s">
        <v>13</v>
      </c>
      <c r="F127" s="2" t="s">
        <v>127</v>
      </c>
    </row>
    <row r="128" spans="1:18" ht="30" x14ac:dyDescent="0.25">
      <c r="A128" s="2" t="str">
        <f>"MED"&amp;TEXT(Table18[[#This Row],[Count]],"000")&amp;"."&amp;IF(Table18[[#This Row],[Category]]="Essential","E",IF(Table18[[#This Row],[Category]]="Discretionary","D","O"))</f>
        <v>MED104.E</v>
      </c>
      <c r="B128" s="2">
        <f>MAX(Table17[Count])+ROWS(INDEX(Table18[Count],1):Table18[[#This Row],[Count]])</f>
        <v>104</v>
      </c>
      <c r="C128" s="5" t="s">
        <v>39</v>
      </c>
      <c r="D128" s="5" t="s">
        <v>654</v>
      </c>
      <c r="E128" s="2" t="s">
        <v>13</v>
      </c>
      <c r="F128" s="2" t="s">
        <v>127</v>
      </c>
    </row>
    <row r="129" spans="1:18" ht="30" x14ac:dyDescent="0.25">
      <c r="A129" s="2" t="str">
        <f>"MED"&amp;TEXT(Table18[[#This Row],[Count]],"000")&amp;"."&amp;IF(Table18[[#This Row],[Category]]="Essential","E",IF(Table18[[#This Row],[Category]]="Discretionary","D","O"))</f>
        <v>MED105.E</v>
      </c>
      <c r="B129" s="2">
        <f>MAX(Table17[Count])+ROWS(INDEX(Table18[Count],1):Table18[[#This Row],[Count]])</f>
        <v>105</v>
      </c>
      <c r="C129" s="5" t="s">
        <v>39</v>
      </c>
      <c r="D129" s="5" t="s">
        <v>655</v>
      </c>
      <c r="E129" s="2" t="s">
        <v>13</v>
      </c>
      <c r="N129" s="2" t="s">
        <v>127</v>
      </c>
      <c r="O129" s="2" t="s">
        <v>127</v>
      </c>
      <c r="P129" s="2" t="s">
        <v>127</v>
      </c>
    </row>
    <row r="130" spans="1:18" ht="30" x14ac:dyDescent="0.25">
      <c r="A130" s="2" t="str">
        <f>"MED"&amp;TEXT(Table18[[#This Row],[Count]],"000")&amp;"."&amp;IF(Table18[[#This Row],[Category]]="Essential","E",IF(Table18[[#This Row],[Category]]="Discretionary","D","O"))</f>
        <v>MED106.E</v>
      </c>
      <c r="B130" s="2">
        <f>MAX(Table17[Count])+ROWS(INDEX(Table18[Count],1):Table18[[#This Row],[Count]])</f>
        <v>106</v>
      </c>
      <c r="C130" s="5" t="s">
        <v>39</v>
      </c>
      <c r="D130" s="5" t="s">
        <v>656</v>
      </c>
      <c r="E130" s="2" t="s">
        <v>13</v>
      </c>
      <c r="N130" s="2" t="s">
        <v>127</v>
      </c>
      <c r="O130" s="2" t="s">
        <v>127</v>
      </c>
      <c r="P130" s="2" t="s">
        <v>127</v>
      </c>
    </row>
    <row r="131" spans="1:18" ht="30" x14ac:dyDescent="0.25">
      <c r="A131" s="2" t="str">
        <f>"MED"&amp;TEXT(Table18[[#This Row],[Count]],"000")&amp;"."&amp;IF(Table18[[#This Row],[Category]]="Essential","E",IF(Table18[[#This Row],[Category]]="Discretionary","D","O"))</f>
        <v>MED107.E</v>
      </c>
      <c r="B131" s="2">
        <f>MAX(Table17[Count])+ROWS(INDEX(Table18[Count],1):Table18[[#This Row],[Count]])</f>
        <v>107</v>
      </c>
      <c r="C131" s="5" t="s">
        <v>39</v>
      </c>
      <c r="D131" s="5" t="s">
        <v>657</v>
      </c>
      <c r="E131" s="2" t="s">
        <v>13</v>
      </c>
      <c r="N131" s="2" t="s">
        <v>127</v>
      </c>
      <c r="O131" s="2" t="s">
        <v>127</v>
      </c>
      <c r="P131" s="2" t="s">
        <v>127</v>
      </c>
      <c r="R131" s="5" t="s">
        <v>658</v>
      </c>
    </row>
    <row r="132" spans="1:18" ht="30" x14ac:dyDescent="0.25">
      <c r="A132" s="2" t="str">
        <f>"MED"&amp;TEXT(Table18[[#This Row],[Count]],"000")&amp;"."&amp;IF(Table18[[#This Row],[Category]]="Essential","E",IF(Table18[[#This Row],[Category]]="Discretionary","D","O"))</f>
        <v>MED108.E</v>
      </c>
      <c r="B132" s="2">
        <f>MAX(Table17[Count])+ROWS(INDEX(Table18[Count],1):Table18[[#This Row],[Count]])</f>
        <v>108</v>
      </c>
      <c r="C132" s="5" t="s">
        <v>39</v>
      </c>
      <c r="D132" s="5" t="s">
        <v>659</v>
      </c>
      <c r="E132" s="2" t="s">
        <v>13</v>
      </c>
      <c r="F132" s="2" t="s">
        <v>127</v>
      </c>
    </row>
    <row r="133" spans="1:18" ht="30" x14ac:dyDescent="0.25">
      <c r="A133" s="2" t="str">
        <f>"MED"&amp;TEXT(Table18[[#This Row],[Count]],"000")&amp;"."&amp;IF(Table18[[#This Row],[Category]]="Essential","E",IF(Table18[[#This Row],[Category]]="Discretionary","D","O"))</f>
        <v>MED109.E</v>
      </c>
      <c r="B133" s="2">
        <f>MAX(Table17[Count])+ROWS(INDEX(Table18[Count],1):Table18[[#This Row],[Count]])</f>
        <v>109</v>
      </c>
      <c r="C133" s="5" t="s">
        <v>39</v>
      </c>
      <c r="D133" s="5" t="s">
        <v>660</v>
      </c>
      <c r="E133" s="2" t="s">
        <v>13</v>
      </c>
      <c r="L133" s="2" t="s">
        <v>127</v>
      </c>
      <c r="M133" s="2" t="s">
        <v>127</v>
      </c>
    </row>
    <row r="134" spans="1:18" x14ac:dyDescent="0.25">
      <c r="A134" s="2" t="str">
        <f>"MED"&amp;TEXT(Table18[[#This Row],[Count]],"000")&amp;"."&amp;IF(Table18[[#This Row],[Category]]="Essential","E",IF(Table18[[#This Row],[Category]]="Discretionary","D","O"))</f>
        <v>MED110.E</v>
      </c>
      <c r="B134" s="2">
        <f>MAX(Table17[Count])+ROWS(INDEX(Table18[Count],1):Table18[[#This Row],[Count]])</f>
        <v>110</v>
      </c>
      <c r="C134" s="5" t="s">
        <v>39</v>
      </c>
      <c r="D134" s="5" t="s">
        <v>661</v>
      </c>
      <c r="E134" s="2" t="s">
        <v>13</v>
      </c>
      <c r="N134" s="2" t="s">
        <v>127</v>
      </c>
      <c r="O134" s="2" t="s">
        <v>127</v>
      </c>
      <c r="P134" s="2" t="s">
        <v>127</v>
      </c>
    </row>
    <row r="135" spans="1:18" x14ac:dyDescent="0.25">
      <c r="A135" s="2" t="str">
        <f>"MED"&amp;TEXT(Table18[[#This Row],[Count]],"000")&amp;"."&amp;IF(Table18[[#This Row],[Category]]="Essential","E",IF(Table18[[#This Row],[Category]]="Discretionary","D","O"))</f>
        <v>MED111.E</v>
      </c>
      <c r="B135" s="2">
        <f>MAX(Table17[Count])+ROWS(INDEX(Table18[Count],1):Table18[[#This Row],[Count]])</f>
        <v>111</v>
      </c>
      <c r="C135" s="5" t="s">
        <v>39</v>
      </c>
      <c r="D135" s="5" t="s">
        <v>662</v>
      </c>
      <c r="E135" s="2" t="s">
        <v>13</v>
      </c>
      <c r="L135" s="2" t="s">
        <v>127</v>
      </c>
      <c r="M135" s="2" t="s">
        <v>127</v>
      </c>
    </row>
    <row r="136" spans="1:18" ht="30" x14ac:dyDescent="0.25">
      <c r="A136" s="2" t="str">
        <f>"MED"&amp;TEXT(Table18[[#This Row],[Count]],"000")&amp;"."&amp;IF(Table18[[#This Row],[Category]]="Essential","E",IF(Table18[[#This Row],[Category]]="Discretionary","D","O"))</f>
        <v>MED112.E</v>
      </c>
      <c r="B136" s="2">
        <f>MAX(Table17[Count])+ROWS(INDEX(Table18[Count],1):Table18[[#This Row],[Count]])</f>
        <v>112</v>
      </c>
      <c r="C136" s="5" t="s">
        <v>39</v>
      </c>
      <c r="D136" s="5" t="s">
        <v>663</v>
      </c>
      <c r="E136" s="2" t="s">
        <v>13</v>
      </c>
      <c r="L136" s="2" t="s">
        <v>127</v>
      </c>
      <c r="M136" s="2" t="s">
        <v>127</v>
      </c>
    </row>
    <row r="137" spans="1:18" ht="30" x14ac:dyDescent="0.25">
      <c r="A137" s="2" t="str">
        <f>"MED"&amp;TEXT(Table18[[#This Row],[Count]],"000")&amp;"."&amp;IF(Table18[[#This Row],[Category]]="Essential","E",IF(Table18[[#This Row],[Category]]="Discretionary","D","O"))</f>
        <v>MED113.E</v>
      </c>
      <c r="B137" s="2">
        <f>MAX(Table17[Count])+ROWS(INDEX(Table18[Count],1):Table18[[#This Row],[Count]])</f>
        <v>113</v>
      </c>
      <c r="C137" s="5" t="s">
        <v>39</v>
      </c>
      <c r="D137" s="5" t="s">
        <v>664</v>
      </c>
      <c r="E137" s="2" t="s">
        <v>13</v>
      </c>
      <c r="F137" s="2" t="s">
        <v>127</v>
      </c>
      <c r="R137" s="5" t="s">
        <v>665</v>
      </c>
    </row>
    <row r="138" spans="1:18" x14ac:dyDescent="0.25">
      <c r="A138" s="2" t="str">
        <f>"MED"&amp;TEXT(Table18[[#This Row],[Count]],"000")&amp;"."&amp;IF(Table18[[#This Row],[Category]]="Essential","E",IF(Table18[[#This Row],[Category]]="Discretionary","D","O"))</f>
        <v>MED114.E</v>
      </c>
      <c r="B138" s="2">
        <f>MAX(Table17[Count])+ROWS(INDEX(Table18[Count],1):Table18[[#This Row],[Count]])</f>
        <v>114</v>
      </c>
      <c r="C138" s="5" t="s">
        <v>39</v>
      </c>
      <c r="D138" s="5" t="s">
        <v>666</v>
      </c>
      <c r="E138" s="2" t="s">
        <v>13</v>
      </c>
      <c r="L138" s="2" t="s">
        <v>127</v>
      </c>
      <c r="M138" s="2" t="s">
        <v>127</v>
      </c>
    </row>
    <row r="139" spans="1:18" ht="30" x14ac:dyDescent="0.25">
      <c r="A139" s="2" t="str">
        <f>"MED"&amp;TEXT(Table18[[#This Row],[Count]],"000")&amp;"."&amp;IF(Table18[[#This Row],[Category]]="Essential","E",IF(Table18[[#This Row],[Category]]="Discretionary","D","O"))</f>
        <v>MED115.E</v>
      </c>
      <c r="B139" s="2">
        <f>MAX(Table17[Count])+ROWS(INDEX(Table18[Count],1):Table18[[#This Row],[Count]])</f>
        <v>115</v>
      </c>
      <c r="C139" s="5" t="s">
        <v>39</v>
      </c>
      <c r="D139" s="5" t="s">
        <v>667</v>
      </c>
      <c r="E139" s="2" t="s">
        <v>13</v>
      </c>
      <c r="O139" s="2" t="s">
        <v>127</v>
      </c>
      <c r="P139" s="2" t="s">
        <v>127</v>
      </c>
    </row>
    <row r="140" spans="1:18" ht="30" x14ac:dyDescent="0.25">
      <c r="A140" s="2" t="str">
        <f>"MED"&amp;TEXT(Table18[[#This Row],[Count]],"000")&amp;"."&amp;IF(Table18[[#This Row],[Category]]="Essential","E",IF(Table18[[#This Row],[Category]]="Discretionary","D","O"))</f>
        <v>MED116.E</v>
      </c>
      <c r="B140" s="2">
        <f>MAX(Table17[Count])+ROWS(INDEX(Table18[Count],1):Table18[[#This Row],[Count]])</f>
        <v>116</v>
      </c>
      <c r="C140" s="5" t="s">
        <v>39</v>
      </c>
      <c r="D140" s="5" t="s">
        <v>668</v>
      </c>
      <c r="E140" s="2" t="s">
        <v>13</v>
      </c>
      <c r="L140" s="2" t="s">
        <v>127</v>
      </c>
      <c r="M140" s="2" t="s">
        <v>127</v>
      </c>
    </row>
    <row r="141" spans="1:18" x14ac:dyDescent="0.25">
      <c r="A141" s="2" t="str">
        <f>"MED"&amp;TEXT(Table18[[#This Row],[Count]],"000")&amp;"."&amp;IF(Table18[[#This Row],[Category]]="Essential","E",IF(Table18[[#This Row],[Category]]="Discretionary","D","O"))</f>
        <v>MED117.E</v>
      </c>
      <c r="B141" s="2">
        <f>MAX(Table17[Count])+ROWS(INDEX(Table18[Count],1):Table18[[#This Row],[Count]])</f>
        <v>117</v>
      </c>
      <c r="C141" s="5" t="s">
        <v>39</v>
      </c>
      <c r="D141" s="5" t="s">
        <v>669</v>
      </c>
      <c r="E141" s="2" t="s">
        <v>13</v>
      </c>
      <c r="F141" s="2" t="s">
        <v>127</v>
      </c>
    </row>
    <row r="142" spans="1:18" ht="60" x14ac:dyDescent="0.25">
      <c r="A142" s="2" t="str">
        <f>"MED"&amp;TEXT(Table18[[#This Row],[Count]],"000")&amp;"."&amp;IF(Table18[[#This Row],[Category]]="Essential","E",IF(Table18[[#This Row],[Category]]="Discretionary","D","O"))</f>
        <v>MED118.E</v>
      </c>
      <c r="B142" s="2">
        <f>MAX(Table17[Count])+ROWS(INDEX(Table18[Count],1):Table18[[#This Row],[Count]])</f>
        <v>118</v>
      </c>
      <c r="C142" s="5" t="s">
        <v>39</v>
      </c>
      <c r="D142" s="5" t="s">
        <v>670</v>
      </c>
      <c r="E142" s="2" t="s">
        <v>13</v>
      </c>
      <c r="N142" s="2" t="s">
        <v>127</v>
      </c>
      <c r="O142" s="2" t="s">
        <v>127</v>
      </c>
      <c r="P142" s="2" t="s">
        <v>127</v>
      </c>
    </row>
    <row r="143" spans="1:18" ht="30" x14ac:dyDescent="0.25">
      <c r="A143" s="2" t="str">
        <f>"MED"&amp;TEXT(Table18[[#This Row],[Count]],"000")&amp;"."&amp;IF(Table18[[#This Row],[Category]]="Essential","E",IF(Table18[[#This Row],[Category]]="Discretionary","D","O"))</f>
        <v>MED119.E</v>
      </c>
      <c r="B143" s="2">
        <f>MAX(Table17[Count])+ROWS(INDEX(Table18[Count],1):Table18[[#This Row],[Count]])</f>
        <v>119</v>
      </c>
      <c r="C143" s="5" t="s">
        <v>39</v>
      </c>
      <c r="D143" s="5" t="s">
        <v>671</v>
      </c>
      <c r="E143" s="2" t="s">
        <v>13</v>
      </c>
      <c r="L143" s="2" t="s">
        <v>127</v>
      </c>
      <c r="M143" s="2" t="s">
        <v>127</v>
      </c>
    </row>
    <row r="144" spans="1:18" x14ac:dyDescent="0.25">
      <c r="A144" s="2" t="str">
        <f>"MED"&amp;TEXT(Table18[[#This Row],[Count]],"000")&amp;"."&amp;IF(Table18[[#This Row],[Category]]="Essential","E",IF(Table18[[#This Row],[Category]]="Discretionary","D","O"))</f>
        <v>MED120.E</v>
      </c>
      <c r="B144" s="2">
        <f>MAX(Table17[Count])+ROWS(INDEX(Table18[Count],1):Table18[[#This Row],[Count]])</f>
        <v>120</v>
      </c>
      <c r="C144" s="5" t="s">
        <v>39</v>
      </c>
      <c r="D144" s="5" t="s">
        <v>672</v>
      </c>
      <c r="E144" s="2" t="s">
        <v>13</v>
      </c>
      <c r="F144" s="2" t="s">
        <v>127</v>
      </c>
    </row>
    <row r="145" spans="1:18" ht="30" x14ac:dyDescent="0.25">
      <c r="A145" s="2" t="str">
        <f>"MED"&amp;TEXT(Table18[[#This Row],[Count]],"000")&amp;"."&amp;IF(Table18[[#This Row],[Category]]="Essential","E",IF(Table18[[#This Row],[Category]]="Discretionary","D","O"))</f>
        <v>MED121.E</v>
      </c>
      <c r="B145" s="2">
        <f>MAX(Table17[Count])+ROWS(INDEX(Table18[Count],1):Table18[[#This Row],[Count]])</f>
        <v>121</v>
      </c>
      <c r="C145" s="5" t="s">
        <v>39</v>
      </c>
      <c r="D145" s="5" t="s">
        <v>673</v>
      </c>
      <c r="E145" s="2" t="s">
        <v>13</v>
      </c>
      <c r="F145" s="2" t="s">
        <v>127</v>
      </c>
    </row>
    <row r="147" spans="1:18" x14ac:dyDescent="0.25">
      <c r="A147" s="58" t="s">
        <v>42</v>
      </c>
      <c r="B147" s="58"/>
      <c r="C147" s="58"/>
      <c r="D147" s="58"/>
      <c r="E147" s="58"/>
      <c r="F147" s="58"/>
      <c r="G147" s="58"/>
      <c r="H147" s="58"/>
      <c r="I147" s="58"/>
      <c r="J147" s="58"/>
      <c r="K147" s="58"/>
      <c r="L147" s="58"/>
      <c r="M147" s="58"/>
      <c r="N147" s="58"/>
      <c r="O147" s="58"/>
      <c r="P147" s="58"/>
      <c r="Q147" s="58"/>
      <c r="R147" s="58"/>
    </row>
    <row r="149" spans="1:18" x14ac:dyDescent="0.25">
      <c r="A149" s="6" t="s">
        <v>120</v>
      </c>
      <c r="B149" s="6" t="s">
        <v>121</v>
      </c>
      <c r="C149" s="7" t="s">
        <v>122</v>
      </c>
      <c r="D149" s="7" t="s">
        <v>123</v>
      </c>
      <c r="E149" s="6" t="s">
        <v>8</v>
      </c>
      <c r="F149" s="6" t="s">
        <v>124</v>
      </c>
      <c r="G149" s="6" t="s">
        <v>154</v>
      </c>
      <c r="H149" s="6" t="s">
        <v>155</v>
      </c>
      <c r="I149" s="6" t="s">
        <v>156</v>
      </c>
      <c r="J149" s="6" t="s">
        <v>157</v>
      </c>
      <c r="K149" s="6" t="s">
        <v>158</v>
      </c>
      <c r="L149" s="6" t="s">
        <v>159</v>
      </c>
      <c r="M149" s="6" t="s">
        <v>160</v>
      </c>
      <c r="N149" s="6" t="s">
        <v>161</v>
      </c>
      <c r="O149" s="6" t="s">
        <v>162</v>
      </c>
      <c r="P149" s="6" t="s">
        <v>163</v>
      </c>
      <c r="Q149" s="7" t="s">
        <v>164</v>
      </c>
      <c r="R149" s="7" t="s">
        <v>125</v>
      </c>
    </row>
    <row r="150" spans="1:18" x14ac:dyDescent="0.25">
      <c r="A150" s="2" t="str">
        <f>"MED"&amp;TEXT(Table19[[#This Row],[Count]],"000")&amp;"."&amp;IF(Table19[[#This Row],[Category]]="Essential","E",IF(Table19[[#This Row],[Category]]="Discretionary","D","O"))</f>
        <v>MED122.E</v>
      </c>
      <c r="B150" s="2">
        <f>MAX(Table18[Count])+ROWS(INDEX(Table19[Count],1):Table19[[#This Row],[Count]])</f>
        <v>122</v>
      </c>
      <c r="C150" s="5" t="s">
        <v>42</v>
      </c>
      <c r="D150" s="5" t="s">
        <v>674</v>
      </c>
      <c r="E150" s="2" t="s">
        <v>13</v>
      </c>
      <c r="F150" s="2" t="s">
        <v>675</v>
      </c>
    </row>
    <row r="151" spans="1:18" x14ac:dyDescent="0.25">
      <c r="A151" s="2" t="str">
        <f>"MED"&amp;TEXT(Table19[[#This Row],[Count]],"000")&amp;"."&amp;IF(Table19[[#This Row],[Category]]="Essential","E",IF(Table19[[#This Row],[Category]]="Discretionary","D","O"))</f>
        <v>MED123.E</v>
      </c>
      <c r="B151" s="2">
        <f>MAX(Table18[Count])+ROWS(INDEX(Table19[Count],1):Table19[[#This Row],[Count]])</f>
        <v>123</v>
      </c>
      <c r="C151" s="5" t="s">
        <v>42</v>
      </c>
      <c r="D151" s="5" t="s">
        <v>676</v>
      </c>
      <c r="E151" s="2" t="s">
        <v>13</v>
      </c>
      <c r="F151" s="2" t="s">
        <v>675</v>
      </c>
    </row>
    <row r="152" spans="1:18" x14ac:dyDescent="0.25">
      <c r="A152" s="2" t="str">
        <f>"MED"&amp;TEXT(Table19[[#This Row],[Count]],"000")&amp;"."&amp;IF(Table19[[#This Row],[Category]]="Essential","E",IF(Table19[[#This Row],[Category]]="Discretionary","D","O"))</f>
        <v>MED124.E</v>
      </c>
      <c r="B152" s="2">
        <f>MAX(Table18[Count])+ROWS(INDEX(Table19[Count],1):Table19[[#This Row],[Count]])</f>
        <v>124</v>
      </c>
      <c r="C152" s="5" t="s">
        <v>42</v>
      </c>
      <c r="D152" s="5" t="s">
        <v>677</v>
      </c>
      <c r="E152" s="2" t="s">
        <v>13</v>
      </c>
      <c r="F152" s="2" t="s">
        <v>675</v>
      </c>
    </row>
    <row r="153" spans="1:18" ht="30" x14ac:dyDescent="0.25">
      <c r="A153" s="2" t="str">
        <f>"MED"&amp;TEXT(Table19[[#This Row],[Count]],"000")&amp;"."&amp;IF(Table19[[#This Row],[Category]]="Essential","E",IF(Table19[[#This Row],[Category]]="Discretionary","D","O"))</f>
        <v>MED125.E</v>
      </c>
      <c r="B153" s="2">
        <f>MAX(Table18[Count])+ROWS(INDEX(Table19[Count],1):Table19[[#This Row],[Count]])</f>
        <v>125</v>
      </c>
      <c r="C153" s="5" t="s">
        <v>42</v>
      </c>
      <c r="D153" s="5" t="s">
        <v>678</v>
      </c>
      <c r="E153" s="2" t="s">
        <v>13</v>
      </c>
      <c r="F153" s="2" t="s">
        <v>675</v>
      </c>
    </row>
    <row r="154" spans="1:18" x14ac:dyDescent="0.25">
      <c r="A154" s="2" t="str">
        <f>"MED"&amp;TEXT(Table19[[#This Row],[Count]],"000")&amp;"."&amp;IF(Table19[[#This Row],[Category]]="Essential","E",IF(Table19[[#This Row],[Category]]="Discretionary","D","O"))</f>
        <v>MED126.E</v>
      </c>
      <c r="B154" s="2">
        <f>MAX(Table18[Count])+ROWS(INDEX(Table19[Count],1):Table19[[#This Row],[Count]])</f>
        <v>126</v>
      </c>
      <c r="C154" s="5" t="s">
        <v>42</v>
      </c>
      <c r="D154" s="5" t="s">
        <v>679</v>
      </c>
      <c r="E154" s="2" t="s">
        <v>13</v>
      </c>
      <c r="F154" s="2" t="s">
        <v>675</v>
      </c>
    </row>
    <row r="155" spans="1:18" ht="45" x14ac:dyDescent="0.25">
      <c r="A155" s="2" t="str">
        <f>"MED"&amp;TEXT(Table19[[#This Row],[Count]],"000")&amp;"."&amp;IF(Table19[[#This Row],[Category]]="Essential","E",IF(Table19[[#This Row],[Category]]="Discretionary","D","O"))</f>
        <v>MED127.E</v>
      </c>
      <c r="B155" s="2">
        <f>MAX(Table18[Count])+ROWS(INDEX(Table19[Count],1):Table19[[#This Row],[Count]])</f>
        <v>127</v>
      </c>
      <c r="C155" s="5" t="s">
        <v>42</v>
      </c>
      <c r="D155" s="5" t="s">
        <v>680</v>
      </c>
      <c r="E155" s="2" t="s">
        <v>13</v>
      </c>
      <c r="F155" s="2" t="s">
        <v>675</v>
      </c>
    </row>
    <row r="156" spans="1:18" ht="30" x14ac:dyDescent="0.25">
      <c r="A156" s="2" t="str">
        <f>"MED"&amp;TEXT(Table19[[#This Row],[Count]],"000")&amp;"."&amp;IF(Table19[[#This Row],[Category]]="Essential","E",IF(Table19[[#This Row],[Category]]="Discretionary","D","O"))</f>
        <v>MED128.E</v>
      </c>
      <c r="B156" s="2">
        <f>MAX(Table18[Count])+ROWS(INDEX(Table19[Count],1):Table19[[#This Row],[Count]])</f>
        <v>128</v>
      </c>
      <c r="C156" s="5" t="s">
        <v>42</v>
      </c>
      <c r="D156" s="5" t="s">
        <v>681</v>
      </c>
      <c r="E156" s="2" t="s">
        <v>13</v>
      </c>
      <c r="F156" s="2" t="s">
        <v>675</v>
      </c>
    </row>
    <row r="157" spans="1:18" ht="30" x14ac:dyDescent="0.25">
      <c r="A157" s="2" t="str">
        <f>"MED"&amp;TEXT(Table19[[#This Row],[Count]],"000")&amp;"."&amp;IF(Table19[[#This Row],[Category]]="Essential","E",IF(Table19[[#This Row],[Category]]="Discretionary","D","O"))</f>
        <v>MED129.E</v>
      </c>
      <c r="B157" s="2">
        <f>MAX(Table18[Count])+ROWS(INDEX(Table19[Count],1):Table19[[#This Row],[Count]])</f>
        <v>129</v>
      </c>
      <c r="C157" s="5" t="s">
        <v>42</v>
      </c>
      <c r="D157" s="5" t="s">
        <v>682</v>
      </c>
      <c r="E157" s="2" t="s">
        <v>13</v>
      </c>
      <c r="F157" s="2" t="s">
        <v>675</v>
      </c>
    </row>
    <row r="158" spans="1:18" ht="30" x14ac:dyDescent="0.25">
      <c r="A158" s="2" t="str">
        <f>"MED"&amp;TEXT(Table19[[#This Row],[Count]],"000")&amp;"."&amp;IF(Table19[[#This Row],[Category]]="Essential","E",IF(Table19[[#This Row],[Category]]="Discretionary","D","O"))</f>
        <v>MED130.E</v>
      </c>
      <c r="B158" s="2">
        <f>MAX(Table18[Count])+ROWS(INDEX(Table19[Count],1):Table19[[#This Row],[Count]])</f>
        <v>130</v>
      </c>
      <c r="C158" s="5" t="s">
        <v>42</v>
      </c>
      <c r="D158" s="5" t="s">
        <v>683</v>
      </c>
      <c r="E158" s="2" t="s">
        <v>13</v>
      </c>
      <c r="F158" s="2" t="s">
        <v>675</v>
      </c>
    </row>
    <row r="159" spans="1:18" ht="30" x14ac:dyDescent="0.25">
      <c r="A159" s="2" t="str">
        <f>"MED"&amp;TEXT(Table19[[#This Row],[Count]],"000")&amp;"."&amp;IF(Table19[[#This Row],[Category]]="Essential","E",IF(Table19[[#This Row],[Category]]="Discretionary","D","O"))</f>
        <v>MED131.E</v>
      </c>
      <c r="B159" s="2">
        <f>MAX(Table18[Count])+ROWS(INDEX(Table19[Count],1):Table19[[#This Row],[Count]])</f>
        <v>131</v>
      </c>
      <c r="C159" s="5" t="s">
        <v>42</v>
      </c>
      <c r="D159" s="5" t="s">
        <v>684</v>
      </c>
      <c r="E159" s="2" t="s">
        <v>13</v>
      </c>
      <c r="F159" s="2" t="s">
        <v>675</v>
      </c>
    </row>
    <row r="160" spans="1:18" ht="30" x14ac:dyDescent="0.25">
      <c r="A160" s="2" t="str">
        <f>"MED"&amp;TEXT(Table19[[#This Row],[Count]],"000")&amp;"."&amp;IF(Table19[[#This Row],[Category]]="Essential","E",IF(Table19[[#This Row],[Category]]="Discretionary","D","O"))</f>
        <v>MED132.E</v>
      </c>
      <c r="B160" s="2">
        <f>MAX(Table18[Count])+ROWS(INDEX(Table19[Count],1):Table19[[#This Row],[Count]])</f>
        <v>132</v>
      </c>
      <c r="C160" s="5" t="s">
        <v>42</v>
      </c>
      <c r="D160" s="5" t="s">
        <v>685</v>
      </c>
      <c r="E160" s="2" t="s">
        <v>13</v>
      </c>
      <c r="F160" s="2" t="s">
        <v>675</v>
      </c>
    </row>
    <row r="161" spans="1:15" ht="30" x14ac:dyDescent="0.25">
      <c r="A161" s="2" t="str">
        <f>"MED"&amp;TEXT(Table19[[#This Row],[Count]],"000")&amp;"."&amp;IF(Table19[[#This Row],[Category]]="Essential","E",IF(Table19[[#This Row],[Category]]="Discretionary","D","O"))</f>
        <v>MED133.E</v>
      </c>
      <c r="B161" s="2">
        <f>MAX(Table18[Count])+ROWS(INDEX(Table19[Count],1):Table19[[#This Row],[Count]])</f>
        <v>133</v>
      </c>
      <c r="C161" s="5" t="s">
        <v>42</v>
      </c>
      <c r="D161" s="5" t="s">
        <v>686</v>
      </c>
      <c r="E161" s="2" t="s">
        <v>13</v>
      </c>
      <c r="F161" s="2" t="s">
        <v>675</v>
      </c>
    </row>
    <row r="162" spans="1:15" ht="60" x14ac:dyDescent="0.25">
      <c r="A162" s="2" t="str">
        <f>"MED"&amp;TEXT(Table19[[#This Row],[Count]],"000")&amp;"."&amp;IF(Table19[[#This Row],[Category]]="Essential","E",IF(Table19[[#This Row],[Category]]="Discretionary","D","O"))</f>
        <v>MED134.E</v>
      </c>
      <c r="B162" s="2">
        <f>MAX(Table18[Count])+ROWS(INDEX(Table19[Count],1):Table19[[#This Row],[Count]])</f>
        <v>134</v>
      </c>
      <c r="C162" s="5" t="s">
        <v>42</v>
      </c>
      <c r="D162" s="5" t="s">
        <v>687</v>
      </c>
      <c r="E162" s="2" t="s">
        <v>13</v>
      </c>
      <c r="F162" s="2" t="s">
        <v>675</v>
      </c>
    </row>
    <row r="163" spans="1:15" ht="30" x14ac:dyDescent="0.25">
      <c r="A163" s="2" t="str">
        <f>"MED"&amp;TEXT(Table19[[#This Row],[Count]],"000")&amp;"."&amp;IF(Table19[[#This Row],[Category]]="Essential","E",IF(Table19[[#This Row],[Category]]="Discretionary","D","O"))</f>
        <v>MED135.E</v>
      </c>
      <c r="B163" s="2">
        <f>MAX(Table18[Count])+ROWS(INDEX(Table19[Count],1):Table19[[#This Row],[Count]])</f>
        <v>135</v>
      </c>
      <c r="C163" s="5" t="s">
        <v>42</v>
      </c>
      <c r="D163" s="5" t="s">
        <v>688</v>
      </c>
      <c r="E163" s="2" t="s">
        <v>13</v>
      </c>
      <c r="F163" s="2" t="s">
        <v>675</v>
      </c>
    </row>
    <row r="164" spans="1:15" ht="45" x14ac:dyDescent="0.25">
      <c r="A164" s="2" t="str">
        <f>"MED"&amp;TEXT(Table19[[#This Row],[Count]],"000")&amp;"."&amp;IF(Table19[[#This Row],[Category]]="Essential","E",IF(Table19[[#This Row],[Category]]="Discretionary","D","O"))</f>
        <v>MED136.E</v>
      </c>
      <c r="B164" s="2">
        <f>MAX(Table18[Count])+ROWS(INDEX(Table19[Count],1):Table19[[#This Row],[Count]])</f>
        <v>136</v>
      </c>
      <c r="C164" s="5" t="s">
        <v>42</v>
      </c>
      <c r="D164" s="5" t="s">
        <v>689</v>
      </c>
      <c r="E164" s="2" t="s">
        <v>13</v>
      </c>
      <c r="F164" s="2" t="s">
        <v>675</v>
      </c>
    </row>
    <row r="165" spans="1:15" ht="30" x14ac:dyDescent="0.25">
      <c r="A165" s="2" t="str">
        <f>"MED"&amp;TEXT(Table19[[#This Row],[Count]],"000")&amp;"."&amp;IF(Table19[[#This Row],[Category]]="Essential","E",IF(Table19[[#This Row],[Category]]="Discretionary","D","O"))</f>
        <v>MED137.E</v>
      </c>
      <c r="B165" s="2">
        <f>MAX(Table18[Count])+ROWS(INDEX(Table19[Count],1):Table19[[#This Row],[Count]])</f>
        <v>137</v>
      </c>
      <c r="C165" s="5" t="s">
        <v>42</v>
      </c>
      <c r="D165" s="5" t="s">
        <v>690</v>
      </c>
      <c r="E165" s="2" t="s">
        <v>13</v>
      </c>
      <c r="F165" s="2" t="s">
        <v>675</v>
      </c>
    </row>
    <row r="166" spans="1:15" x14ac:dyDescent="0.25">
      <c r="A166" s="2" t="str">
        <f>"MED"&amp;TEXT(Table19[[#This Row],[Count]],"000")&amp;"."&amp;IF(Table19[[#This Row],[Category]]="Essential","E",IF(Table19[[#This Row],[Category]]="Discretionary","D","O"))</f>
        <v>MED138.E</v>
      </c>
      <c r="B166" s="2">
        <f>MAX(Table18[Count])+ROWS(INDEX(Table19[Count],1):Table19[[#This Row],[Count]])</f>
        <v>138</v>
      </c>
      <c r="C166" s="5" t="s">
        <v>42</v>
      </c>
      <c r="D166" s="5" t="s">
        <v>691</v>
      </c>
      <c r="E166" s="2" t="s">
        <v>13</v>
      </c>
      <c r="F166" s="2" t="s">
        <v>675</v>
      </c>
    </row>
    <row r="167" spans="1:15" x14ac:dyDescent="0.25">
      <c r="A167" s="2" t="str">
        <f>"MED"&amp;TEXT(Table19[[#This Row],[Count]],"000")&amp;"."&amp;IF(Table19[[#This Row],[Category]]="Essential","E",IF(Table19[[#This Row],[Category]]="Discretionary","D","O"))</f>
        <v>MED139.E</v>
      </c>
      <c r="B167" s="2">
        <f>MAX(Table18[Count])+ROWS(INDEX(Table19[Count],1):Table19[[#This Row],[Count]])</f>
        <v>139</v>
      </c>
      <c r="C167" s="5" t="s">
        <v>42</v>
      </c>
      <c r="D167" s="5" t="s">
        <v>692</v>
      </c>
      <c r="E167" s="2" t="s">
        <v>13</v>
      </c>
      <c r="F167" s="2" t="s">
        <v>675</v>
      </c>
    </row>
    <row r="168" spans="1:15" x14ac:dyDescent="0.25">
      <c r="A168" s="2" t="str">
        <f>"MED"&amp;TEXT(Table19[[#This Row],[Count]],"000")&amp;"."&amp;IF(Table19[[#This Row],[Category]]="Essential","E",IF(Table19[[#This Row],[Category]]="Discretionary","D","O"))</f>
        <v>MED140.E</v>
      </c>
      <c r="B168" s="2">
        <f>MAX(Table18[Count])+ROWS(INDEX(Table19[Count],1):Table19[[#This Row],[Count]])</f>
        <v>140</v>
      </c>
      <c r="C168" s="5" t="s">
        <v>42</v>
      </c>
      <c r="D168" s="5" t="s">
        <v>693</v>
      </c>
      <c r="E168" s="2" t="s">
        <v>13</v>
      </c>
      <c r="F168" s="2" t="s">
        <v>675</v>
      </c>
    </row>
    <row r="169" spans="1:15" ht="30" x14ac:dyDescent="0.25">
      <c r="A169" s="2" t="str">
        <f>"MED"&amp;TEXT(Table19[[#This Row],[Count]],"000")&amp;"."&amp;IF(Table19[[#This Row],[Category]]="Essential","E",IF(Table19[[#This Row],[Category]]="Discretionary","D","O"))</f>
        <v>MED141.E</v>
      </c>
      <c r="B169" s="2">
        <f>MAX(Table18[Count])+ROWS(INDEX(Table19[Count],1):Table19[[#This Row],[Count]])</f>
        <v>141</v>
      </c>
      <c r="C169" s="5" t="s">
        <v>42</v>
      </c>
      <c r="D169" s="5" t="s">
        <v>694</v>
      </c>
      <c r="E169" s="2" t="s">
        <v>13</v>
      </c>
      <c r="O169" s="2" t="s">
        <v>675</v>
      </c>
    </row>
    <row r="170" spans="1:15" x14ac:dyDescent="0.25">
      <c r="A170" s="2" t="str">
        <f>"MED"&amp;TEXT(Table19[[#This Row],[Count]],"000")&amp;"."&amp;IF(Table19[[#This Row],[Category]]="Essential","E",IF(Table19[[#This Row],[Category]]="Discretionary","D","O"))</f>
        <v>MED142.E</v>
      </c>
      <c r="B170" s="2">
        <f>MAX(Table18[Count])+ROWS(INDEX(Table19[Count],1):Table19[[#This Row],[Count]])</f>
        <v>142</v>
      </c>
      <c r="C170" s="5" t="s">
        <v>42</v>
      </c>
      <c r="D170" s="5" t="s">
        <v>695</v>
      </c>
      <c r="E170" s="2" t="s">
        <v>13</v>
      </c>
      <c r="F170" s="2" t="s">
        <v>675</v>
      </c>
    </row>
    <row r="171" spans="1:15" x14ac:dyDescent="0.25">
      <c r="A171" s="2" t="str">
        <f>"MED"&amp;TEXT(Table19[[#This Row],[Count]],"000")&amp;"."&amp;IF(Table19[[#This Row],[Category]]="Essential","E",IF(Table19[[#This Row],[Category]]="Discretionary","D","O"))</f>
        <v>MED143.E</v>
      </c>
      <c r="B171" s="2">
        <f>MAX(Table18[Count])+ROWS(INDEX(Table19[Count],1):Table19[[#This Row],[Count]])</f>
        <v>143</v>
      </c>
      <c r="C171" s="5" t="s">
        <v>42</v>
      </c>
      <c r="D171" s="5" t="s">
        <v>696</v>
      </c>
      <c r="E171" s="2" t="s">
        <v>13</v>
      </c>
      <c r="F171" s="2" t="s">
        <v>675</v>
      </c>
    </row>
    <row r="172" spans="1:15" x14ac:dyDescent="0.25">
      <c r="A172" s="2" t="str">
        <f>"MED"&amp;TEXT(Table19[[#This Row],[Count]],"000")&amp;"."&amp;IF(Table19[[#This Row],[Category]]="Essential","E",IF(Table19[[#This Row],[Category]]="Discretionary","D","O"))</f>
        <v>MED144.E</v>
      </c>
      <c r="B172" s="2">
        <f>MAX(Table18[Count])+ROWS(INDEX(Table19[Count],1):Table19[[#This Row],[Count]])</f>
        <v>144</v>
      </c>
      <c r="C172" s="5" t="s">
        <v>42</v>
      </c>
      <c r="D172" s="5" t="s">
        <v>697</v>
      </c>
      <c r="E172" s="2" t="s">
        <v>13</v>
      </c>
      <c r="F172" s="2" t="s">
        <v>675</v>
      </c>
    </row>
    <row r="173" spans="1:15" x14ac:dyDescent="0.25">
      <c r="A173" s="2" t="str">
        <f>"MED"&amp;TEXT(Table19[[#This Row],[Count]],"000")&amp;"."&amp;IF(Table19[[#This Row],[Category]]="Essential","E",IF(Table19[[#This Row],[Category]]="Discretionary","D","O"))</f>
        <v>MED145.E</v>
      </c>
      <c r="B173" s="2">
        <f>MAX(Table18[Count])+ROWS(INDEX(Table19[Count],1):Table19[[#This Row],[Count]])</f>
        <v>145</v>
      </c>
      <c r="C173" s="5" t="s">
        <v>42</v>
      </c>
      <c r="D173" s="5" t="s">
        <v>698</v>
      </c>
      <c r="E173" s="2" t="s">
        <v>13</v>
      </c>
      <c r="F173" s="2" t="s">
        <v>675</v>
      </c>
    </row>
    <row r="174" spans="1:15" ht="30" x14ac:dyDescent="0.25">
      <c r="A174" s="2" t="str">
        <f>"MED"&amp;TEXT(Table19[[#This Row],[Count]],"000")&amp;"."&amp;IF(Table19[[#This Row],[Category]]="Essential","E",IF(Table19[[#This Row],[Category]]="Discretionary","D","O"))</f>
        <v>MED146.E</v>
      </c>
      <c r="B174" s="2">
        <f>MAX(Table18[Count])+ROWS(INDEX(Table19[Count],1):Table19[[#This Row],[Count]])</f>
        <v>146</v>
      </c>
      <c r="C174" s="5" t="s">
        <v>42</v>
      </c>
      <c r="D174" s="5" t="s">
        <v>699</v>
      </c>
      <c r="E174" s="2" t="s">
        <v>13</v>
      </c>
      <c r="F174" s="2" t="s">
        <v>675</v>
      </c>
    </row>
    <row r="175" spans="1:15" x14ac:dyDescent="0.25">
      <c r="A175" s="2" t="str">
        <f>"MED"&amp;TEXT(Table19[[#This Row],[Count]],"000")&amp;"."&amp;IF(Table19[[#This Row],[Category]]="Essential","E",IF(Table19[[#This Row],[Category]]="Discretionary","D","O"))</f>
        <v>MED147.D</v>
      </c>
      <c r="B175" s="2">
        <f>MAX(Table18[Count])+ROWS(INDEX(Table19[Count],1):Table19[[#This Row],[Count]])</f>
        <v>147</v>
      </c>
      <c r="C175" s="5" t="s">
        <v>42</v>
      </c>
      <c r="D175" s="5" t="s">
        <v>700</v>
      </c>
      <c r="E175" s="2" t="s">
        <v>18</v>
      </c>
      <c r="L175" s="2" t="s">
        <v>127</v>
      </c>
      <c r="M175" s="2" t="s">
        <v>127</v>
      </c>
      <c r="N175" s="2" t="s">
        <v>127</v>
      </c>
      <c r="O175" s="2" t="s">
        <v>127</v>
      </c>
    </row>
    <row r="176" spans="1:15" x14ac:dyDescent="0.25">
      <c r="A176" s="2" t="str">
        <f>"MED"&amp;TEXT(Table19[[#This Row],[Count]],"000")&amp;"."&amp;IF(Table19[[#This Row],[Category]]="Essential","E",IF(Table19[[#This Row],[Category]]="Discretionary","D","O"))</f>
        <v>MED148.E</v>
      </c>
      <c r="B176" s="2">
        <f>MAX(Table18[Count])+ROWS(INDEX(Table19[Count],1):Table19[[#This Row],[Count]])</f>
        <v>148</v>
      </c>
      <c r="C176" s="5" t="s">
        <v>42</v>
      </c>
      <c r="D176" s="5" t="s">
        <v>701</v>
      </c>
      <c r="E176" s="2" t="s">
        <v>13</v>
      </c>
      <c r="F176" s="2" t="s">
        <v>675</v>
      </c>
    </row>
    <row r="177" spans="1:15" x14ac:dyDescent="0.25">
      <c r="A177" s="2" t="str">
        <f>"MED"&amp;TEXT(Table19[[#This Row],[Count]],"000")&amp;"."&amp;IF(Table19[[#This Row],[Category]]="Essential","E",IF(Table19[[#This Row],[Category]]="Discretionary","D","O"))</f>
        <v>MED149.E</v>
      </c>
      <c r="B177" s="2">
        <f>MAX(Table18[Count])+ROWS(INDEX(Table19[Count],1):Table19[[#This Row],[Count]])</f>
        <v>149</v>
      </c>
      <c r="C177" s="5" t="s">
        <v>42</v>
      </c>
      <c r="D177" s="5" t="s">
        <v>702</v>
      </c>
      <c r="E177" s="2" t="s">
        <v>13</v>
      </c>
      <c r="F177" s="2" t="s">
        <v>675</v>
      </c>
    </row>
    <row r="178" spans="1:15" x14ac:dyDescent="0.25">
      <c r="A178" s="2" t="str">
        <f>"MED"&amp;TEXT(Table19[[#This Row],[Count]],"000")&amp;"."&amp;IF(Table19[[#This Row],[Category]]="Essential","E",IF(Table19[[#This Row],[Category]]="Discretionary","D","O"))</f>
        <v>MED150.D</v>
      </c>
      <c r="B178" s="2">
        <f>MAX(Table18[Count])+ROWS(INDEX(Table19[Count],1):Table19[[#This Row],[Count]])</f>
        <v>150</v>
      </c>
      <c r="C178" s="5" t="s">
        <v>42</v>
      </c>
      <c r="D178" s="5" t="s">
        <v>703</v>
      </c>
      <c r="E178" s="2" t="s">
        <v>18</v>
      </c>
      <c r="F178" s="2" t="s">
        <v>675</v>
      </c>
    </row>
    <row r="179" spans="1:15" ht="30" x14ac:dyDescent="0.25">
      <c r="A179" s="2" t="str">
        <f>"MED"&amp;TEXT(Table19[[#This Row],[Count]],"000")&amp;"."&amp;IF(Table19[[#This Row],[Category]]="Essential","E",IF(Table19[[#This Row],[Category]]="Discretionary","D","O"))</f>
        <v>MED151.E</v>
      </c>
      <c r="B179" s="2">
        <f>MAX(Table18[Count])+ROWS(INDEX(Table19[Count],1):Table19[[#This Row],[Count]])</f>
        <v>151</v>
      </c>
      <c r="C179" s="5" t="s">
        <v>42</v>
      </c>
      <c r="D179" s="5" t="s">
        <v>704</v>
      </c>
      <c r="E179" s="2" t="s">
        <v>13</v>
      </c>
      <c r="F179" s="2" t="s">
        <v>675</v>
      </c>
    </row>
    <row r="180" spans="1:15" x14ac:dyDescent="0.25">
      <c r="A180" s="2" t="str">
        <f>"MED"&amp;TEXT(Table19[[#This Row],[Count]],"000")&amp;"."&amp;IF(Table19[[#This Row],[Category]]="Essential","E",IF(Table19[[#This Row],[Category]]="Discretionary","D","O"))</f>
        <v>MED152.D</v>
      </c>
      <c r="B180" s="2">
        <f>MAX(Table18[Count])+ROWS(INDEX(Table19[Count],1):Table19[[#This Row],[Count]])</f>
        <v>152</v>
      </c>
      <c r="C180" s="5" t="s">
        <v>42</v>
      </c>
      <c r="D180" s="5" t="s">
        <v>705</v>
      </c>
      <c r="E180" s="2" t="s">
        <v>18</v>
      </c>
      <c r="F180" s="2" t="s">
        <v>675</v>
      </c>
    </row>
    <row r="181" spans="1:15" x14ac:dyDescent="0.25">
      <c r="A181" s="2" t="str">
        <f>"MED"&amp;TEXT(Table19[[#This Row],[Count]],"000")&amp;"."&amp;IF(Table19[[#This Row],[Category]]="Essential","E",IF(Table19[[#This Row],[Category]]="Discretionary","D","O"))</f>
        <v>MED153.E</v>
      </c>
      <c r="B181" s="2">
        <f>MAX(Table18[Count])+ROWS(INDEX(Table19[Count],1):Table19[[#This Row],[Count]])</f>
        <v>153</v>
      </c>
      <c r="C181" s="5" t="s">
        <v>42</v>
      </c>
      <c r="D181" s="5" t="s">
        <v>706</v>
      </c>
      <c r="E181" s="2" t="s">
        <v>13</v>
      </c>
      <c r="F181" s="2" t="s">
        <v>675</v>
      </c>
    </row>
    <row r="182" spans="1:15" x14ac:dyDescent="0.25">
      <c r="A182" s="2" t="str">
        <f>"MED"&amp;TEXT(Table19[[#This Row],[Count]],"000")&amp;"."&amp;IF(Table19[[#This Row],[Category]]="Essential","E",IF(Table19[[#This Row],[Category]]="Discretionary","D","O"))</f>
        <v>MED154.E</v>
      </c>
      <c r="B182" s="2">
        <f>MAX(Table18[Count])+ROWS(INDEX(Table19[Count],1):Table19[[#This Row],[Count]])</f>
        <v>154</v>
      </c>
      <c r="C182" s="5" t="s">
        <v>42</v>
      </c>
      <c r="D182" s="5" t="s">
        <v>707</v>
      </c>
      <c r="E182" s="2" t="s">
        <v>13</v>
      </c>
      <c r="N182" s="2" t="s">
        <v>127</v>
      </c>
      <c r="O182" s="2" t="s">
        <v>127</v>
      </c>
    </row>
    <row r="183" spans="1:15" x14ac:dyDescent="0.25">
      <c r="A183" s="2" t="str">
        <f>"MED"&amp;TEXT(Table19[[#This Row],[Count]],"000")&amp;"."&amp;IF(Table19[[#This Row],[Category]]="Essential","E",IF(Table19[[#This Row],[Category]]="Discretionary","D","O"))</f>
        <v>MED155.D</v>
      </c>
      <c r="B183" s="2">
        <f>MAX(Table18[Count])+ROWS(INDEX(Table19[Count],1):Table19[[#This Row],[Count]])</f>
        <v>155</v>
      </c>
      <c r="C183" s="5" t="s">
        <v>42</v>
      </c>
      <c r="D183" s="5" t="s">
        <v>708</v>
      </c>
      <c r="E183" s="2" t="s">
        <v>18</v>
      </c>
      <c r="F183" s="2" t="s">
        <v>675</v>
      </c>
    </row>
    <row r="184" spans="1:15" x14ac:dyDescent="0.25">
      <c r="A184" s="2" t="str">
        <f>"MED"&amp;TEXT(Table19[[#This Row],[Count]],"000")&amp;"."&amp;IF(Table19[[#This Row],[Category]]="Essential","E",IF(Table19[[#This Row],[Category]]="Discretionary","D","O"))</f>
        <v>MED156.E</v>
      </c>
      <c r="B184" s="2">
        <f>MAX(Table18[Count])+ROWS(INDEX(Table19[Count],1):Table19[[#This Row],[Count]])</f>
        <v>156</v>
      </c>
      <c r="C184" s="5" t="s">
        <v>42</v>
      </c>
      <c r="D184" s="5" t="s">
        <v>709</v>
      </c>
      <c r="E184" s="2" t="s">
        <v>13</v>
      </c>
      <c r="F184" s="2" t="s">
        <v>675</v>
      </c>
    </row>
    <row r="185" spans="1:15" x14ac:dyDescent="0.25">
      <c r="A185" s="2" t="str">
        <f>"MED"&amp;TEXT(Table19[[#This Row],[Count]],"000")&amp;"."&amp;IF(Table19[[#This Row],[Category]]="Essential","E",IF(Table19[[#This Row],[Category]]="Discretionary","D","O"))</f>
        <v>MED157.D</v>
      </c>
      <c r="B185" s="2">
        <f>MAX(Table18[Count])+ROWS(INDEX(Table19[Count],1):Table19[[#This Row],[Count]])</f>
        <v>157</v>
      </c>
      <c r="C185" s="5" t="s">
        <v>42</v>
      </c>
      <c r="D185" s="5" t="s">
        <v>710</v>
      </c>
      <c r="E185" s="2" t="s">
        <v>18</v>
      </c>
      <c r="F185" s="2" t="s">
        <v>675</v>
      </c>
    </row>
    <row r="186" spans="1:15" ht="45" x14ac:dyDescent="0.25">
      <c r="A186" s="2" t="str">
        <f>"MED"&amp;TEXT(Table19[[#This Row],[Count]],"000")&amp;"."&amp;IF(Table19[[#This Row],[Category]]="Essential","E",IF(Table19[[#This Row],[Category]]="Discretionary","D","O"))</f>
        <v>MED158.E</v>
      </c>
      <c r="B186" s="2">
        <f>MAX(Table18[Count])+ROWS(INDEX(Table19[Count],1):Table19[[#This Row],[Count]])</f>
        <v>158</v>
      </c>
      <c r="C186" s="5" t="s">
        <v>42</v>
      </c>
      <c r="D186" s="5" t="s">
        <v>711</v>
      </c>
      <c r="E186" s="2" t="s">
        <v>13</v>
      </c>
      <c r="F186" s="2" t="s">
        <v>675</v>
      </c>
    </row>
    <row r="187" spans="1:15" x14ac:dyDescent="0.25">
      <c r="A187" s="2" t="str">
        <f>"MED"&amp;TEXT(Table19[[#This Row],[Count]],"000")&amp;"."&amp;IF(Table19[[#This Row],[Category]]="Essential","E",IF(Table19[[#This Row],[Category]]="Discretionary","D","O"))</f>
        <v>MED159.E</v>
      </c>
      <c r="B187" s="2">
        <f>MAX(Table18[Count])+ROWS(INDEX(Table19[Count],1):Table19[[#This Row],[Count]])</f>
        <v>159</v>
      </c>
      <c r="C187" s="5" t="s">
        <v>42</v>
      </c>
      <c r="D187" s="5" t="s">
        <v>712</v>
      </c>
      <c r="E187" s="2" t="s">
        <v>13</v>
      </c>
      <c r="F187" s="2" t="s">
        <v>675</v>
      </c>
    </row>
    <row r="188" spans="1:15" x14ac:dyDescent="0.25">
      <c r="A188" s="2" t="str">
        <f>"MED"&amp;TEXT(Table19[[#This Row],[Count]],"000")&amp;"."&amp;IF(Table19[[#This Row],[Category]]="Essential","E",IF(Table19[[#This Row],[Category]]="Discretionary","D","O"))</f>
        <v>MED160.E</v>
      </c>
      <c r="B188" s="2">
        <f>MAX(Table18[Count])+ROWS(INDEX(Table19[Count],1):Table19[[#This Row],[Count]])</f>
        <v>160</v>
      </c>
      <c r="C188" s="5" t="s">
        <v>42</v>
      </c>
      <c r="D188" s="5" t="s">
        <v>713</v>
      </c>
      <c r="E188" s="2" t="s">
        <v>13</v>
      </c>
      <c r="F188" s="2" t="s">
        <v>675</v>
      </c>
    </row>
    <row r="189" spans="1:15" ht="30" x14ac:dyDescent="0.25">
      <c r="A189" s="2" t="str">
        <f>"MED"&amp;TEXT(Table19[[#This Row],[Count]],"000")&amp;"."&amp;IF(Table19[[#This Row],[Category]]="Essential","E",IF(Table19[[#This Row],[Category]]="Discretionary","D","O"))</f>
        <v>MED161.E</v>
      </c>
      <c r="B189" s="2">
        <f>MAX(Table18[Count])+ROWS(INDEX(Table19[Count],1):Table19[[#This Row],[Count]])</f>
        <v>161</v>
      </c>
      <c r="C189" s="5" t="s">
        <v>42</v>
      </c>
      <c r="D189" s="5" t="s">
        <v>714</v>
      </c>
      <c r="E189" s="2" t="s">
        <v>13</v>
      </c>
      <c r="F189" s="2" t="s">
        <v>675</v>
      </c>
    </row>
    <row r="190" spans="1:15" x14ac:dyDescent="0.25">
      <c r="A190" s="2" t="str">
        <f>"MED"&amp;TEXT(Table19[[#This Row],[Count]],"000")&amp;"."&amp;IF(Table19[[#This Row],[Category]]="Essential","E",IF(Table19[[#This Row],[Category]]="Discretionary","D","O"))</f>
        <v>MED162.D</v>
      </c>
      <c r="B190" s="2">
        <f>MAX(Table18[Count])+ROWS(INDEX(Table19[Count],1):Table19[[#This Row],[Count]])</f>
        <v>162</v>
      </c>
      <c r="C190" s="5" t="s">
        <v>42</v>
      </c>
      <c r="D190" s="5" t="s">
        <v>715</v>
      </c>
      <c r="E190" s="2" t="s">
        <v>18</v>
      </c>
      <c r="O190" s="2" t="s">
        <v>127</v>
      </c>
    </row>
    <row r="191" spans="1:15" x14ac:dyDescent="0.25">
      <c r="A191" s="2" t="str">
        <f>"MED"&amp;TEXT(Table19[[#This Row],[Count]],"000")&amp;"."&amp;IF(Table19[[#This Row],[Category]]="Essential","E",IF(Table19[[#This Row],[Category]]="Discretionary","D","O"))</f>
        <v>MED163.E</v>
      </c>
      <c r="B191" s="2">
        <f>MAX(Table18[Count])+ROWS(INDEX(Table19[Count],1):Table19[[#This Row],[Count]])</f>
        <v>163</v>
      </c>
      <c r="C191" s="5" t="s">
        <v>42</v>
      </c>
      <c r="D191" s="5" t="s">
        <v>716</v>
      </c>
      <c r="E191" s="2" t="s">
        <v>13</v>
      </c>
      <c r="F191" s="2" t="s">
        <v>675</v>
      </c>
    </row>
    <row r="192" spans="1:15" ht="30" x14ac:dyDescent="0.25">
      <c r="A192" s="2" t="str">
        <f>"MED"&amp;TEXT(Table19[[#This Row],[Count]],"000")&amp;"."&amp;IF(Table19[[#This Row],[Category]]="Essential","E",IF(Table19[[#This Row],[Category]]="Discretionary","D","O"))</f>
        <v>MED164.E</v>
      </c>
      <c r="B192" s="2">
        <f>MAX(Table18[Count])+ROWS(INDEX(Table19[Count],1):Table19[[#This Row],[Count]])</f>
        <v>164</v>
      </c>
      <c r="C192" s="5" t="s">
        <v>42</v>
      </c>
      <c r="D192" s="5" t="s">
        <v>717</v>
      </c>
      <c r="E192" s="2" t="s">
        <v>13</v>
      </c>
      <c r="F192" s="2" t="s">
        <v>675</v>
      </c>
    </row>
    <row r="193" spans="1:18" x14ac:dyDescent="0.25">
      <c r="A193" s="2" t="str">
        <f>"MED"&amp;TEXT(Table19[[#This Row],[Count]],"000")&amp;"."&amp;IF(Table19[[#This Row],[Category]]="Essential","E",IF(Table19[[#This Row],[Category]]="Discretionary","D","O"))</f>
        <v>MED165.E</v>
      </c>
      <c r="B193" s="2">
        <f>MAX(Table18[Count])+ROWS(INDEX(Table19[Count],1):Table19[[#This Row],[Count]])</f>
        <v>165</v>
      </c>
      <c r="C193" s="5" t="s">
        <v>42</v>
      </c>
      <c r="D193" s="5" t="s">
        <v>718</v>
      </c>
      <c r="E193" s="2" t="s">
        <v>13</v>
      </c>
      <c r="F193" s="2" t="s">
        <v>675</v>
      </c>
    </row>
    <row r="195" spans="1:18" x14ac:dyDescent="0.25">
      <c r="A195" s="58" t="s">
        <v>45</v>
      </c>
      <c r="B195" s="58"/>
      <c r="C195" s="58"/>
      <c r="D195" s="58"/>
      <c r="E195" s="58"/>
      <c r="F195" s="58"/>
      <c r="G195" s="58"/>
      <c r="H195" s="58"/>
      <c r="I195" s="58"/>
      <c r="J195" s="58"/>
      <c r="K195" s="58"/>
      <c r="L195" s="58"/>
      <c r="M195" s="58"/>
      <c r="N195" s="58"/>
      <c r="O195" s="58"/>
      <c r="P195" s="58"/>
      <c r="Q195" s="58"/>
      <c r="R195" s="58"/>
    </row>
    <row r="197" spans="1:18" x14ac:dyDescent="0.25">
      <c r="A197" s="6" t="s">
        <v>120</v>
      </c>
      <c r="B197" s="6" t="s">
        <v>121</v>
      </c>
      <c r="C197" s="7" t="s">
        <v>122</v>
      </c>
      <c r="D197" s="7" t="s">
        <v>123</v>
      </c>
      <c r="E197" s="6" t="s">
        <v>8</v>
      </c>
      <c r="F197" s="6" t="s">
        <v>124</v>
      </c>
      <c r="G197" s="6" t="s">
        <v>154</v>
      </c>
      <c r="H197" s="6" t="s">
        <v>155</v>
      </c>
      <c r="I197" s="6" t="s">
        <v>156</v>
      </c>
      <c r="J197" s="6" t="s">
        <v>157</v>
      </c>
      <c r="K197" s="6" t="s">
        <v>158</v>
      </c>
      <c r="L197" s="6" t="s">
        <v>159</v>
      </c>
      <c r="M197" s="6" t="s">
        <v>160</v>
      </c>
      <c r="N197" s="6" t="s">
        <v>161</v>
      </c>
      <c r="O197" s="6" t="s">
        <v>162</v>
      </c>
      <c r="P197" s="6" t="s">
        <v>163</v>
      </c>
      <c r="Q197" s="7" t="s">
        <v>164</v>
      </c>
      <c r="R197" s="7" t="s">
        <v>125</v>
      </c>
    </row>
    <row r="198" spans="1:18" ht="30" x14ac:dyDescent="0.25">
      <c r="A198" s="2" t="str">
        <f>"MED"&amp;TEXT(Table20[[#This Row],[Count]],"000")&amp;"."&amp;IF(Table20[[#This Row],[Category]]="Essential","E",IF(Table20[[#This Row],[Category]]="Discretionary","D","O"))</f>
        <v>MED166.E</v>
      </c>
      <c r="B198" s="2">
        <f>MAX(Table19[Count])+ROWS(INDEX(Table20[Count],1):Table20[[#This Row],[Count]])</f>
        <v>166</v>
      </c>
      <c r="C198" s="5" t="s">
        <v>45</v>
      </c>
      <c r="D198" s="5" t="s">
        <v>719</v>
      </c>
      <c r="E198" s="2" t="s">
        <v>13</v>
      </c>
      <c r="M198" s="2" t="s">
        <v>127</v>
      </c>
      <c r="N198" s="2" t="s">
        <v>127</v>
      </c>
      <c r="O198" s="2" t="s">
        <v>127</v>
      </c>
      <c r="P198" s="2" t="s">
        <v>127</v>
      </c>
    </row>
    <row r="199" spans="1:18" ht="30" x14ac:dyDescent="0.25">
      <c r="A199" s="2" t="str">
        <f>"MED"&amp;TEXT(Table20[[#This Row],[Count]],"000")&amp;"."&amp;IF(Table20[[#This Row],[Category]]="Essential","E",IF(Table20[[#This Row],[Category]]="Discretionary","D","O"))</f>
        <v>MED167.O</v>
      </c>
      <c r="B199" s="2">
        <f>MAX(Table19[Count])+ROWS(INDEX(Table20[Count],1):Table20[[#This Row],[Count]])</f>
        <v>167</v>
      </c>
      <c r="C199" s="5" t="s">
        <v>45</v>
      </c>
      <c r="D199" s="5" t="s">
        <v>720</v>
      </c>
      <c r="E199" s="2" t="s">
        <v>23</v>
      </c>
      <c r="M199" s="2" t="s">
        <v>127</v>
      </c>
      <c r="N199" s="2" t="s">
        <v>127</v>
      </c>
      <c r="O199" s="2" t="s">
        <v>127</v>
      </c>
      <c r="P199" s="2" t="s">
        <v>127</v>
      </c>
      <c r="Q199" s="5" t="s">
        <v>127</v>
      </c>
    </row>
    <row r="200" spans="1:18" ht="30" x14ac:dyDescent="0.25">
      <c r="A200" s="2" t="str">
        <f>"MED"&amp;TEXT(Table20[[#This Row],[Count]],"000")&amp;"."&amp;IF(Table20[[#This Row],[Category]]="Cat 1","1",IF(Table20[[#This Row],[Category]]="Cat 2","2",IF(Table20[[#This Row],[Category]]="Cat 3","3","O")))</f>
        <v>MED168.O</v>
      </c>
      <c r="B200" s="2">
        <f>MAX(Table19[Count])+ROWS(INDEX(Table20[Count],1):Table20[[#This Row],[Count]])</f>
        <v>168</v>
      </c>
      <c r="C200" s="5" t="s">
        <v>45</v>
      </c>
      <c r="D200" s="5" t="s">
        <v>721</v>
      </c>
      <c r="E200" s="2" t="s">
        <v>23</v>
      </c>
      <c r="L200" s="2" t="s">
        <v>127</v>
      </c>
      <c r="M200" s="2" t="s">
        <v>127</v>
      </c>
      <c r="N200" s="2" t="s">
        <v>127</v>
      </c>
      <c r="O200" s="2" t="s">
        <v>127</v>
      </c>
      <c r="P200" s="2" t="s">
        <v>127</v>
      </c>
    </row>
    <row r="201" spans="1:18" ht="30" x14ac:dyDescent="0.25">
      <c r="A201" s="2" t="str">
        <f>"MED"&amp;TEXT(Table20[[#This Row],[Count]],"000")&amp;"."&amp;IF(Table20[[#This Row],[Category]]="Essential","E",IF(Table20[[#This Row],[Category]]="Discretionary","D","O"))</f>
        <v>MED169.E</v>
      </c>
      <c r="B201" s="2">
        <f>MAX(Table19[Count])+ROWS(INDEX(Table20[Count],1):Table20[[#This Row],[Count]])</f>
        <v>169</v>
      </c>
      <c r="C201" s="5" t="s">
        <v>45</v>
      </c>
      <c r="D201" s="5" t="s">
        <v>722</v>
      </c>
      <c r="E201" s="2" t="s">
        <v>13</v>
      </c>
      <c r="M201" s="2" t="s">
        <v>127</v>
      </c>
      <c r="N201" s="2" t="s">
        <v>127</v>
      </c>
      <c r="O201" s="2" t="s">
        <v>127</v>
      </c>
      <c r="P201" s="2" t="s">
        <v>127</v>
      </c>
    </row>
    <row r="202" spans="1:18" ht="30" x14ac:dyDescent="0.25">
      <c r="A202" s="2" t="str">
        <f>"MED"&amp;TEXT(Table20[[#This Row],[Count]],"000")&amp;"."&amp;IF(Table20[[#This Row],[Category]]="Essential","E",IF(Table20[[#This Row],[Category]]="Discretionary","D","O"))</f>
        <v>MED170.E</v>
      </c>
      <c r="B202" s="2">
        <f>MAX(Table19[Count])+ROWS(INDEX(Table20[Count],1):Table20[[#This Row],[Count]])</f>
        <v>170</v>
      </c>
      <c r="C202" s="5" t="s">
        <v>45</v>
      </c>
      <c r="D202" s="5" t="s">
        <v>723</v>
      </c>
      <c r="E202" s="2" t="s">
        <v>13</v>
      </c>
      <c r="M202" s="2" t="s">
        <v>127</v>
      </c>
      <c r="N202" s="2" t="s">
        <v>127</v>
      </c>
      <c r="O202" s="2" t="s">
        <v>127</v>
      </c>
      <c r="P202" s="2" t="s">
        <v>127</v>
      </c>
      <c r="Q202" s="5" t="s">
        <v>127</v>
      </c>
    </row>
    <row r="203" spans="1:18" ht="30" x14ac:dyDescent="0.25">
      <c r="A203" s="2" t="str">
        <f>"MED"&amp;TEXT(Table20[[#This Row],[Count]],"000")&amp;"."&amp;IF(Table20[[#This Row],[Category]]="Essential","E",IF(Table20[[#This Row],[Category]]="Discretionary","D","O"))</f>
        <v>MED171.E</v>
      </c>
      <c r="B203" s="2">
        <f>MAX(Table19[Count])+ROWS(INDEX(Table20[Count],1):Table20[[#This Row],[Count]])</f>
        <v>171</v>
      </c>
      <c r="C203" s="5" t="s">
        <v>45</v>
      </c>
      <c r="D203" s="5" t="s">
        <v>724</v>
      </c>
      <c r="E203" s="2" t="s">
        <v>13</v>
      </c>
      <c r="I203" s="2" t="s">
        <v>127</v>
      </c>
      <c r="M203" s="2" t="s">
        <v>127</v>
      </c>
      <c r="N203" s="2" t="s">
        <v>127</v>
      </c>
      <c r="O203" s="2" t="s">
        <v>127</v>
      </c>
      <c r="P203" s="2" t="s">
        <v>127</v>
      </c>
    </row>
    <row r="204" spans="1:18" ht="30" x14ac:dyDescent="0.25">
      <c r="A204" s="2" t="str">
        <f>"MED"&amp;TEXT(Table20[[#This Row],[Count]],"000")&amp;"."&amp;IF(Table20[[#This Row],[Category]]="Essential","E",IF(Table20[[#This Row],[Category]]="Discretionary","D","O"))</f>
        <v>MED172.E</v>
      </c>
      <c r="B204" s="2">
        <f>MAX(Table19[Count])+ROWS(INDEX(Table20[Count],1):Table20[[#This Row],[Count]])</f>
        <v>172</v>
      </c>
      <c r="C204" s="5" t="s">
        <v>45</v>
      </c>
      <c r="D204" s="5" t="s">
        <v>725</v>
      </c>
      <c r="E204" s="2" t="s">
        <v>13</v>
      </c>
      <c r="L204" s="2" t="s">
        <v>127</v>
      </c>
      <c r="M204" s="2" t="s">
        <v>127</v>
      </c>
      <c r="N204" s="2" t="s">
        <v>127</v>
      </c>
      <c r="O204" s="2" t="s">
        <v>127</v>
      </c>
      <c r="P204" s="2" t="s">
        <v>127</v>
      </c>
    </row>
    <row r="205" spans="1:18" ht="30" x14ac:dyDescent="0.25">
      <c r="A205" s="2" t="str">
        <f>"MED"&amp;TEXT(Table20[[#This Row],[Count]],"000")&amp;"."&amp;IF(Table20[[#This Row],[Category]]="Essential","E",IF(Table20[[#This Row],[Category]]="Discretionary","D","O"))</f>
        <v>MED173.E</v>
      </c>
      <c r="B205" s="2">
        <f>MAX(Table19[Count])+ROWS(INDEX(Table20[Count],1):Table20[[#This Row],[Count]])</f>
        <v>173</v>
      </c>
      <c r="C205" s="5" t="s">
        <v>45</v>
      </c>
      <c r="D205" s="5" t="s">
        <v>726</v>
      </c>
      <c r="E205" s="2" t="s">
        <v>13</v>
      </c>
      <c r="M205" s="2" t="s">
        <v>127</v>
      </c>
      <c r="N205" s="2" t="s">
        <v>127</v>
      </c>
      <c r="O205" s="2" t="s">
        <v>127</v>
      </c>
      <c r="P205" s="2" t="s">
        <v>127</v>
      </c>
    </row>
    <row r="206" spans="1:18" ht="30" x14ac:dyDescent="0.25">
      <c r="A206" s="2" t="str">
        <f>"MED"&amp;TEXT(Table20[[#This Row],[Count]],"000")&amp;"."&amp;IF(Table20[[#This Row],[Category]]="Essential","E",IF(Table20[[#This Row],[Category]]="Discretionary","D","O"))</f>
        <v>MED174.O</v>
      </c>
      <c r="B206" s="2">
        <f>MAX(Table19[Count])+ROWS(INDEX(Table20[Count],1):Table20[[#This Row],[Count]])</f>
        <v>174</v>
      </c>
      <c r="C206" s="5" t="s">
        <v>45</v>
      </c>
      <c r="D206" s="5" t="s">
        <v>727</v>
      </c>
      <c r="E206" s="2" t="s">
        <v>23</v>
      </c>
      <c r="L206" s="2" t="s">
        <v>127</v>
      </c>
      <c r="M206" s="2" t="s">
        <v>127</v>
      </c>
      <c r="N206" s="2" t="s">
        <v>127</v>
      </c>
      <c r="O206" s="2" t="s">
        <v>127</v>
      </c>
      <c r="P206" s="2" t="s">
        <v>127</v>
      </c>
      <c r="R206" s="5" t="s">
        <v>728</v>
      </c>
    </row>
    <row r="207" spans="1:18" ht="30" x14ac:dyDescent="0.25">
      <c r="A207" s="2" t="str">
        <f>"MED"&amp;TEXT(Table20[[#This Row],[Count]],"000")&amp;"."&amp;IF(Table20[[#This Row],[Category]]="Essential","E",IF(Table20[[#This Row],[Category]]="Discretionary","D","O"))</f>
        <v>MED175.O</v>
      </c>
      <c r="B207" s="2">
        <f>MAX(Table19[Count])+ROWS(INDEX(Table20[Count],1):Table20[[#This Row],[Count]])</f>
        <v>175</v>
      </c>
      <c r="C207" s="5" t="s">
        <v>45</v>
      </c>
      <c r="D207" s="5" t="s">
        <v>729</v>
      </c>
      <c r="E207" s="2" t="s">
        <v>23</v>
      </c>
      <c r="L207" s="2" t="s">
        <v>127</v>
      </c>
      <c r="M207" s="2" t="s">
        <v>127</v>
      </c>
      <c r="N207" s="2" t="s">
        <v>127</v>
      </c>
      <c r="O207" s="2" t="s">
        <v>127</v>
      </c>
      <c r="P207" s="2" t="s">
        <v>127</v>
      </c>
      <c r="R207" s="5" t="s">
        <v>728</v>
      </c>
    </row>
    <row r="208" spans="1:18" ht="30" x14ac:dyDescent="0.25">
      <c r="A208" s="2" t="str">
        <f>"MED"&amp;TEXT(Table20[[#This Row],[Count]],"000")&amp;"."&amp;IF(Table20[[#This Row],[Category]]="Essential","E",IF(Table20[[#This Row],[Category]]="Discretionary","D","O"))</f>
        <v>MED176.O</v>
      </c>
      <c r="B208" s="2">
        <f>MAX(Table19[Count])+ROWS(INDEX(Table20[Count],1):Table20[[#This Row],[Count]])</f>
        <v>176</v>
      </c>
      <c r="C208" s="5" t="s">
        <v>45</v>
      </c>
      <c r="D208" s="5" t="s">
        <v>730</v>
      </c>
      <c r="E208" s="2" t="s">
        <v>23</v>
      </c>
      <c r="L208" s="2" t="s">
        <v>127</v>
      </c>
      <c r="M208" s="2" t="s">
        <v>127</v>
      </c>
      <c r="N208" s="2" t="s">
        <v>127</v>
      </c>
      <c r="O208" s="2" t="s">
        <v>127</v>
      </c>
      <c r="P208" s="2" t="s">
        <v>127</v>
      </c>
      <c r="R208" s="5" t="s">
        <v>728</v>
      </c>
    </row>
    <row r="209" spans="1:18" ht="30" x14ac:dyDescent="0.25">
      <c r="A209" s="2" t="str">
        <f>"MED"&amp;TEXT(Table20[[#This Row],[Count]],"000")&amp;"."&amp;IF(Table20[[#This Row],[Category]]="Essential","E",IF(Table20[[#This Row],[Category]]="Discretionary","D","O"))</f>
        <v>MED177.E</v>
      </c>
      <c r="B209" s="2">
        <f>MAX(Table19[Count])+ROWS(INDEX(Table20[Count],1):Table20[[#This Row],[Count]])</f>
        <v>177</v>
      </c>
      <c r="C209" s="5" t="s">
        <v>45</v>
      </c>
      <c r="D209" s="5" t="s">
        <v>731</v>
      </c>
      <c r="E209" s="2" t="s">
        <v>13</v>
      </c>
      <c r="L209" s="2" t="s">
        <v>127</v>
      </c>
      <c r="M209" s="2" t="s">
        <v>127</v>
      </c>
      <c r="N209" s="2" t="s">
        <v>127</v>
      </c>
      <c r="O209" s="2" t="s">
        <v>127</v>
      </c>
      <c r="P209" s="2" t="s">
        <v>127</v>
      </c>
    </row>
    <row r="210" spans="1:18" ht="30" x14ac:dyDescent="0.25">
      <c r="A210" s="2" t="str">
        <f>"MED"&amp;TEXT(Table20[[#This Row],[Count]],"000")&amp;"."&amp;IF(Table20[[#This Row],[Category]]="Essential","E",IF(Table20[[#This Row],[Category]]="Discretionary","D","O"))</f>
        <v>MED178.E</v>
      </c>
      <c r="B210" s="2">
        <f>MAX(Table19[Count])+ROWS(INDEX(Table20[Count],1):Table20[[#This Row],[Count]])</f>
        <v>178</v>
      </c>
      <c r="C210" s="5" t="s">
        <v>45</v>
      </c>
      <c r="D210" s="5" t="s">
        <v>732</v>
      </c>
      <c r="E210" s="2" t="s">
        <v>13</v>
      </c>
      <c r="L210" s="2" t="s">
        <v>127</v>
      </c>
      <c r="M210" s="2" t="s">
        <v>127</v>
      </c>
      <c r="N210" s="2" t="s">
        <v>127</v>
      </c>
      <c r="O210" s="2" t="s">
        <v>127</v>
      </c>
      <c r="P210" s="2" t="s">
        <v>127</v>
      </c>
      <c r="R210" s="5" t="s">
        <v>733</v>
      </c>
    </row>
    <row r="211" spans="1:18" ht="30" x14ac:dyDescent="0.25">
      <c r="A211" s="2" t="str">
        <f>"MED"&amp;TEXT(Table20[[#This Row],[Count]],"000")&amp;"."&amp;IF(Table20[[#This Row],[Category]]="Essential","E",IF(Table20[[#This Row],[Category]]="Discretionary","D","O"))</f>
        <v>MED179.E</v>
      </c>
      <c r="B211" s="2">
        <f>MAX(Table19[Count])+ROWS(INDEX(Table20[Count],1):Table20[[#This Row],[Count]])</f>
        <v>179</v>
      </c>
      <c r="C211" s="5" t="s">
        <v>45</v>
      </c>
      <c r="D211" s="5" t="s">
        <v>734</v>
      </c>
      <c r="E211" s="2" t="s">
        <v>13</v>
      </c>
      <c r="M211" s="2" t="s">
        <v>127</v>
      </c>
      <c r="N211" s="2" t="s">
        <v>127</v>
      </c>
      <c r="O211" s="2" t="s">
        <v>127</v>
      </c>
      <c r="P211" s="2" t="s">
        <v>127</v>
      </c>
      <c r="Q211" s="5" t="s">
        <v>127</v>
      </c>
    </row>
    <row r="212" spans="1:18" ht="30" x14ac:dyDescent="0.25">
      <c r="A212" s="2" t="str">
        <f>"MED"&amp;TEXT(Table20[[#This Row],[Count]],"000")&amp;"."&amp;IF(Table20[[#This Row],[Category]]="Essential","E",IF(Table20[[#This Row],[Category]]="Discretionary","D","O"))</f>
        <v>MED180.E</v>
      </c>
      <c r="B212" s="2">
        <f>MAX(Table19[Count])+ROWS(INDEX(Table20[Count],1):Table20[[#This Row],[Count]])</f>
        <v>180</v>
      </c>
      <c r="C212" s="5" t="s">
        <v>45</v>
      </c>
      <c r="D212" s="5" t="s">
        <v>735</v>
      </c>
      <c r="E212" s="2" t="s">
        <v>13</v>
      </c>
      <c r="M212" s="2" t="s">
        <v>127</v>
      </c>
      <c r="N212" s="2" t="s">
        <v>127</v>
      </c>
      <c r="O212" s="2" t="s">
        <v>127</v>
      </c>
      <c r="P212" s="2" t="s">
        <v>127</v>
      </c>
    </row>
    <row r="213" spans="1:18" ht="30" x14ac:dyDescent="0.25">
      <c r="A213" s="2" t="str">
        <f>"MED"&amp;TEXT(Table20[[#This Row],[Count]],"000")&amp;"."&amp;IF(Table20[[#This Row],[Category]]="Essential","E",IF(Table20[[#This Row],[Category]]="Discretionary","D","O"))</f>
        <v>MED181.E</v>
      </c>
      <c r="B213" s="2">
        <f>MAX(Table19[Count])+ROWS(INDEX(Table20[Count],1):Table20[[#This Row],[Count]])</f>
        <v>181</v>
      </c>
      <c r="C213" s="5" t="s">
        <v>45</v>
      </c>
      <c r="D213" s="5" t="s">
        <v>736</v>
      </c>
      <c r="E213" s="2" t="s">
        <v>13</v>
      </c>
      <c r="M213" s="2" t="s">
        <v>127</v>
      </c>
      <c r="N213" s="2" t="s">
        <v>127</v>
      </c>
      <c r="O213" s="2" t="s">
        <v>127</v>
      </c>
      <c r="P213" s="2" t="s">
        <v>127</v>
      </c>
      <c r="R213" s="5" t="s">
        <v>733</v>
      </c>
    </row>
    <row r="214" spans="1:18" ht="30" x14ac:dyDescent="0.25">
      <c r="A214" s="2" t="str">
        <f>"MED"&amp;TEXT(Table20[[#This Row],[Count]],"000")&amp;"."&amp;IF(Table20[[#This Row],[Category]]="Essential","E",IF(Table20[[#This Row],[Category]]="Discretionary","D","O"))</f>
        <v>MED182.E</v>
      </c>
      <c r="B214" s="2">
        <f>MAX(Table19[Count])+ROWS(INDEX(Table20[Count],1):Table20[[#This Row],[Count]])</f>
        <v>182</v>
      </c>
      <c r="C214" s="5" t="s">
        <v>45</v>
      </c>
      <c r="D214" s="5" t="s">
        <v>737</v>
      </c>
      <c r="E214" s="2" t="s">
        <v>13</v>
      </c>
      <c r="L214" s="2" t="s">
        <v>127</v>
      </c>
      <c r="M214" s="2" t="s">
        <v>127</v>
      </c>
      <c r="N214" s="2" t="s">
        <v>127</v>
      </c>
      <c r="O214" s="2" t="s">
        <v>127</v>
      </c>
      <c r="P214" s="2" t="s">
        <v>127</v>
      </c>
    </row>
    <row r="215" spans="1:18" ht="30" x14ac:dyDescent="0.25">
      <c r="A215" s="2" t="str">
        <f>"MED"&amp;TEXT(Table20[[#This Row],[Count]],"000")&amp;"."&amp;IF(Table20[[#This Row],[Category]]="Essential","E",IF(Table20[[#This Row],[Category]]="Discretionary","D","O"))</f>
        <v>MED183.E</v>
      </c>
      <c r="B215" s="2">
        <f>MAX(Table19[Count])+ROWS(INDEX(Table20[Count],1):Table20[[#This Row],[Count]])</f>
        <v>183</v>
      </c>
      <c r="C215" s="5" t="s">
        <v>45</v>
      </c>
      <c r="D215" s="5" t="s">
        <v>738</v>
      </c>
      <c r="E215" s="2" t="s">
        <v>13</v>
      </c>
      <c r="L215" s="2" t="s">
        <v>127</v>
      </c>
      <c r="M215" s="2" t="s">
        <v>127</v>
      </c>
      <c r="N215" s="2" t="s">
        <v>127</v>
      </c>
      <c r="O215" s="2" t="s">
        <v>127</v>
      </c>
      <c r="P215" s="2" t="s">
        <v>127</v>
      </c>
    </row>
    <row r="216" spans="1:18" ht="30" x14ac:dyDescent="0.25">
      <c r="A216" s="2" t="str">
        <f>"MED"&amp;TEXT(Table20[[#This Row],[Count]],"000")&amp;"."&amp;IF(Table20[[#This Row],[Category]]="Essential","E",IF(Table20[[#This Row],[Category]]="Discretionary","D","O"))</f>
        <v>MED184.E</v>
      </c>
      <c r="B216" s="2">
        <f>MAX(Table19[Count])+ROWS(INDEX(Table20[Count],1):Table20[[#This Row],[Count]])</f>
        <v>184</v>
      </c>
      <c r="C216" s="5" t="s">
        <v>45</v>
      </c>
      <c r="D216" s="5" t="s">
        <v>739</v>
      </c>
      <c r="E216" s="2" t="s">
        <v>13</v>
      </c>
      <c r="N216" s="2" t="s">
        <v>127</v>
      </c>
      <c r="O216" s="2" t="s">
        <v>127</v>
      </c>
      <c r="P216" s="2" t="s">
        <v>127</v>
      </c>
      <c r="Q216" s="5" t="s">
        <v>127</v>
      </c>
      <c r="R216" s="5" t="s">
        <v>733</v>
      </c>
    </row>
    <row r="217" spans="1:18" ht="30" x14ac:dyDescent="0.25">
      <c r="A217" s="2" t="str">
        <f>"MED"&amp;TEXT(Table20[[#This Row],[Count]],"000")&amp;"."&amp;IF(Table20[[#This Row],[Category]]="Essential","E",IF(Table20[[#This Row],[Category]]="Discretionary","D","O"))</f>
        <v>MED185.E</v>
      </c>
      <c r="B217" s="2">
        <f>MAX(Table19[Count])+ROWS(INDEX(Table20[Count],1):Table20[[#This Row],[Count]])</f>
        <v>185</v>
      </c>
      <c r="C217" s="5" t="s">
        <v>45</v>
      </c>
      <c r="D217" s="5" t="s">
        <v>740</v>
      </c>
      <c r="E217" s="2" t="s">
        <v>13</v>
      </c>
      <c r="L217" s="2" t="s">
        <v>127</v>
      </c>
      <c r="M217" s="2" t="s">
        <v>127</v>
      </c>
      <c r="N217" s="2" t="s">
        <v>127</v>
      </c>
      <c r="O217" s="2" t="s">
        <v>127</v>
      </c>
      <c r="P217" s="2" t="s">
        <v>127</v>
      </c>
    </row>
    <row r="218" spans="1:18" ht="45" x14ac:dyDescent="0.25">
      <c r="A218" s="2" t="str">
        <f>"MED"&amp;TEXT(Table20[[#This Row],[Count]],"000")&amp;"."&amp;IF(Table20[[#This Row],[Category]]="Essential","E",IF(Table20[[#This Row],[Category]]="Discretionary","D","O"))</f>
        <v>MED186.E</v>
      </c>
      <c r="B218" s="2">
        <f>MAX(Table19[Count])+ROWS(INDEX(Table20[Count],1):Table20[[#This Row],[Count]])</f>
        <v>186</v>
      </c>
      <c r="C218" s="5" t="s">
        <v>45</v>
      </c>
      <c r="D218" s="5" t="s">
        <v>741</v>
      </c>
      <c r="E218" s="2" t="s">
        <v>13</v>
      </c>
      <c r="I218" s="2" t="s">
        <v>127</v>
      </c>
      <c r="M218" s="2" t="s">
        <v>127</v>
      </c>
      <c r="N218" s="2" t="s">
        <v>127</v>
      </c>
      <c r="O218" s="2" t="s">
        <v>127</v>
      </c>
      <c r="P218" s="2" t="s">
        <v>127</v>
      </c>
    </row>
    <row r="219" spans="1:18" ht="30" x14ac:dyDescent="0.25">
      <c r="A219" s="2" t="str">
        <f>"MED"&amp;TEXT(Table20[[#This Row],[Count]],"000")&amp;"."&amp;IF(Table20[[#This Row],[Category]]="Essential","E",IF(Table20[[#This Row],[Category]]="Discretionary","D","O"))</f>
        <v>MED187.E</v>
      </c>
      <c r="B219" s="2">
        <f>MAX(Table19[Count])+ROWS(INDEX(Table20[Count],1):Table20[[#This Row],[Count]])</f>
        <v>187</v>
      </c>
      <c r="C219" s="5" t="s">
        <v>45</v>
      </c>
      <c r="D219" s="5" t="s">
        <v>742</v>
      </c>
      <c r="E219" s="2" t="s">
        <v>13</v>
      </c>
      <c r="M219" s="2" t="s">
        <v>127</v>
      </c>
      <c r="N219" s="2" t="s">
        <v>127</v>
      </c>
      <c r="O219" s="2" t="s">
        <v>127</v>
      </c>
      <c r="P219" s="2" t="s">
        <v>127</v>
      </c>
      <c r="R219" s="5" t="s">
        <v>733</v>
      </c>
    </row>
    <row r="220" spans="1:18" ht="30" x14ac:dyDescent="0.25">
      <c r="A220" s="2" t="str">
        <f>"MED"&amp;TEXT(Table20[[#This Row],[Count]],"000")&amp;"."&amp;IF(Table20[[#This Row],[Category]]="Essential","E",IF(Table20[[#This Row],[Category]]="Discretionary","D","O"))</f>
        <v>MED188.E</v>
      </c>
      <c r="B220" s="2">
        <f>MAX(Table19[Count])+ROWS(INDEX(Table20[Count],1):Table20[[#This Row],[Count]])</f>
        <v>188</v>
      </c>
      <c r="C220" s="5" t="s">
        <v>45</v>
      </c>
      <c r="D220" s="5" t="s">
        <v>743</v>
      </c>
      <c r="E220" s="2" t="s">
        <v>13</v>
      </c>
      <c r="M220" s="2" t="s">
        <v>127</v>
      </c>
      <c r="N220" s="2" t="s">
        <v>127</v>
      </c>
      <c r="O220" s="2" t="s">
        <v>127</v>
      </c>
      <c r="P220" s="2" t="s">
        <v>127</v>
      </c>
      <c r="R220" s="5" t="s">
        <v>733</v>
      </c>
    </row>
    <row r="221" spans="1:18" ht="30" x14ac:dyDescent="0.25">
      <c r="A221" s="2" t="str">
        <f>"MED"&amp;TEXT(Table20[[#This Row],[Count]],"000")&amp;"."&amp;IF(Table20[[#This Row],[Category]]="Essential","E",IF(Table20[[#This Row],[Category]]="Discretionary","D","O"))</f>
        <v>MED189.E</v>
      </c>
      <c r="B221" s="2">
        <f>MAX(Table19[Count])+ROWS(INDEX(Table20[Count],1):Table20[[#This Row],[Count]])</f>
        <v>189</v>
      </c>
      <c r="C221" s="5" t="s">
        <v>45</v>
      </c>
      <c r="D221" s="5" t="s">
        <v>744</v>
      </c>
      <c r="E221" s="2" t="s">
        <v>13</v>
      </c>
      <c r="M221" s="2" t="s">
        <v>127</v>
      </c>
      <c r="N221" s="2" t="s">
        <v>127</v>
      </c>
      <c r="O221" s="2" t="s">
        <v>127</v>
      </c>
      <c r="P221" s="2" t="s">
        <v>127</v>
      </c>
      <c r="R221" s="5" t="s">
        <v>733</v>
      </c>
    </row>
    <row r="222" spans="1:18" ht="30" x14ac:dyDescent="0.25">
      <c r="A222" s="2" t="str">
        <f>"MED"&amp;TEXT(Table20[[#This Row],[Count]],"000")&amp;"."&amp;IF(Table20[[#This Row],[Category]]="Essential","E",IF(Table20[[#This Row],[Category]]="Discretionary","D","O"))</f>
        <v>MED190.E</v>
      </c>
      <c r="B222" s="2">
        <f>MAX(Table19[Count])+ROWS(INDEX(Table20[Count],1):Table20[[#This Row],[Count]])</f>
        <v>190</v>
      </c>
      <c r="C222" s="5" t="s">
        <v>45</v>
      </c>
      <c r="D222" s="5" t="s">
        <v>745</v>
      </c>
      <c r="E222" s="2" t="s">
        <v>13</v>
      </c>
      <c r="M222" s="2" t="s">
        <v>127</v>
      </c>
      <c r="N222" s="2" t="s">
        <v>127</v>
      </c>
      <c r="O222" s="2" t="s">
        <v>127</v>
      </c>
      <c r="P222" s="2" t="s">
        <v>127</v>
      </c>
      <c r="R222" s="5" t="s">
        <v>733</v>
      </c>
    </row>
    <row r="223" spans="1:18" ht="30" x14ac:dyDescent="0.25">
      <c r="A223" s="2" t="str">
        <f>"MED"&amp;TEXT(Table20[[#This Row],[Count]],"000")&amp;"."&amp;IF(Table20[[#This Row],[Category]]="Essential","E",IF(Table20[[#This Row],[Category]]="Discretionary","D","O"))</f>
        <v>MED191.E</v>
      </c>
      <c r="B223" s="2">
        <f>MAX(Table19[Count])+ROWS(INDEX(Table20[Count],1):Table20[[#This Row],[Count]])</f>
        <v>191</v>
      </c>
      <c r="C223" s="5" t="s">
        <v>45</v>
      </c>
      <c r="D223" s="5" t="s">
        <v>746</v>
      </c>
      <c r="E223" s="2" t="s">
        <v>13</v>
      </c>
      <c r="L223" s="2" t="s">
        <v>127</v>
      </c>
      <c r="M223" s="2" t="s">
        <v>127</v>
      </c>
      <c r="N223" s="2" t="s">
        <v>127</v>
      </c>
      <c r="O223" s="2" t="s">
        <v>127</v>
      </c>
      <c r="P223" s="2" t="s">
        <v>127</v>
      </c>
    </row>
    <row r="224" spans="1:18" ht="30" x14ac:dyDescent="0.25">
      <c r="A224" s="2" t="str">
        <f>"MED"&amp;TEXT(Table20[[#This Row],[Count]],"000")&amp;"."&amp;IF(Table20[[#This Row],[Category]]="Essential","E",IF(Table20[[#This Row],[Category]]="Discretionary","D","O"))</f>
        <v>MED192.E</v>
      </c>
      <c r="B224" s="2">
        <f>MAX(Table19[Count])+ROWS(INDEX(Table20[Count],1):Table20[[#This Row],[Count]])</f>
        <v>192</v>
      </c>
      <c r="C224" s="5" t="s">
        <v>45</v>
      </c>
      <c r="D224" s="5" t="s">
        <v>747</v>
      </c>
      <c r="E224" s="2" t="s">
        <v>13</v>
      </c>
      <c r="L224" s="2" t="s">
        <v>127</v>
      </c>
      <c r="M224" s="2" t="s">
        <v>127</v>
      </c>
      <c r="N224" s="2" t="s">
        <v>127</v>
      </c>
      <c r="O224" s="2" t="s">
        <v>127</v>
      </c>
      <c r="P224" s="2" t="s">
        <v>127</v>
      </c>
      <c r="R224" s="5" t="s">
        <v>733</v>
      </c>
    </row>
    <row r="225" spans="1:18" ht="45" x14ac:dyDescent="0.25">
      <c r="A225" s="2" t="str">
        <f>"MED"&amp;TEXT(Table20[[#This Row],[Count]],"000")&amp;"."&amp;IF(Table20[[#This Row],[Category]]="Essential","E",IF(Table20[[#This Row],[Category]]="Discretionary","D","O"))</f>
        <v>MED193.E</v>
      </c>
      <c r="B225" s="2">
        <f>MAX(Table19[Count])+ROWS(INDEX(Table20[Count],1):Table20[[#This Row],[Count]])</f>
        <v>193</v>
      </c>
      <c r="C225" s="5" t="s">
        <v>45</v>
      </c>
      <c r="D225" s="5" t="s">
        <v>748</v>
      </c>
      <c r="E225" s="2" t="s">
        <v>13</v>
      </c>
      <c r="L225" s="2" t="s">
        <v>127</v>
      </c>
      <c r="M225" s="2" t="s">
        <v>127</v>
      </c>
      <c r="N225" s="2" t="s">
        <v>127</v>
      </c>
      <c r="O225" s="2" t="s">
        <v>127</v>
      </c>
      <c r="P225" s="2" t="s">
        <v>127</v>
      </c>
      <c r="R225" s="5" t="s">
        <v>733</v>
      </c>
    </row>
    <row r="226" spans="1:18" ht="30" x14ac:dyDescent="0.25">
      <c r="A226" s="2" t="str">
        <f>"MED"&amp;TEXT(Table20[[#This Row],[Count]],"000")&amp;"."&amp;IF(Table20[[#This Row],[Category]]="Essential","E",IF(Table20[[#This Row],[Category]]="Discretionary","D","O"))</f>
        <v>MED194.E</v>
      </c>
      <c r="B226" s="2">
        <f>MAX(Table19[Count])+ROWS(INDEX(Table20[Count],1):Table20[[#This Row],[Count]])</f>
        <v>194</v>
      </c>
      <c r="C226" s="5" t="s">
        <v>45</v>
      </c>
      <c r="D226" s="5" t="s">
        <v>749</v>
      </c>
      <c r="E226" s="2" t="s">
        <v>13</v>
      </c>
      <c r="L226" s="2" t="s">
        <v>127</v>
      </c>
      <c r="M226" s="2" t="s">
        <v>127</v>
      </c>
      <c r="N226" s="2" t="s">
        <v>127</v>
      </c>
      <c r="O226" s="2" t="s">
        <v>127</v>
      </c>
      <c r="P226" s="2" t="s">
        <v>127</v>
      </c>
      <c r="R226" s="5" t="s">
        <v>733</v>
      </c>
    </row>
    <row r="227" spans="1:18" ht="30" x14ac:dyDescent="0.25">
      <c r="A227" s="2" t="str">
        <f>"MED"&amp;TEXT(Table20[[#This Row],[Count]],"000")&amp;"."&amp;IF(Table20[[#This Row],[Category]]="Essential","E",IF(Table20[[#This Row],[Category]]="Discretionary","D","O"))</f>
        <v>MED195.E</v>
      </c>
      <c r="B227" s="2">
        <f>MAX(Table19[Count])+ROWS(INDEX(Table20[Count],1):Table20[[#This Row],[Count]])</f>
        <v>195</v>
      </c>
      <c r="C227" s="5" t="s">
        <v>45</v>
      </c>
      <c r="D227" s="5" t="s">
        <v>750</v>
      </c>
      <c r="E227" s="2" t="s">
        <v>13</v>
      </c>
      <c r="M227" s="2" t="s">
        <v>127</v>
      </c>
      <c r="N227" s="2" t="s">
        <v>127</v>
      </c>
      <c r="O227" s="2" t="s">
        <v>127</v>
      </c>
      <c r="P227" s="2" t="s">
        <v>127</v>
      </c>
    </row>
    <row r="229" spans="1:18" x14ac:dyDescent="0.25">
      <c r="A229" s="58" t="s">
        <v>49</v>
      </c>
      <c r="B229" s="58"/>
      <c r="C229" s="58"/>
      <c r="D229" s="58"/>
      <c r="E229" s="58"/>
      <c r="F229" s="58"/>
      <c r="G229" s="58"/>
      <c r="H229" s="58"/>
      <c r="I229" s="58"/>
      <c r="J229" s="58"/>
      <c r="K229" s="58"/>
      <c r="L229" s="58"/>
      <c r="M229" s="58"/>
      <c r="N229" s="58"/>
      <c r="O229" s="58"/>
      <c r="P229" s="58"/>
      <c r="Q229" s="58"/>
      <c r="R229" s="58"/>
    </row>
    <row r="231" spans="1:18" x14ac:dyDescent="0.25">
      <c r="A231" s="6" t="s">
        <v>120</v>
      </c>
      <c r="B231" s="6" t="s">
        <v>121</v>
      </c>
      <c r="C231" s="7" t="s">
        <v>122</v>
      </c>
      <c r="D231" s="7" t="s">
        <v>123</v>
      </c>
      <c r="E231" s="6" t="s">
        <v>8</v>
      </c>
      <c r="F231" s="6" t="s">
        <v>124</v>
      </c>
      <c r="G231" s="6" t="s">
        <v>154</v>
      </c>
      <c r="H231" s="6" t="s">
        <v>155</v>
      </c>
      <c r="I231" s="6" t="s">
        <v>156</v>
      </c>
      <c r="J231" s="6" t="s">
        <v>157</v>
      </c>
      <c r="K231" s="6" t="s">
        <v>158</v>
      </c>
      <c r="L231" s="6" t="s">
        <v>159</v>
      </c>
      <c r="M231" s="6" t="s">
        <v>160</v>
      </c>
      <c r="N231" s="6" t="s">
        <v>161</v>
      </c>
      <c r="O231" s="6" t="s">
        <v>162</v>
      </c>
      <c r="P231" s="6" t="s">
        <v>163</v>
      </c>
      <c r="Q231" s="7" t="s">
        <v>164</v>
      </c>
      <c r="R231" s="7" t="s">
        <v>125</v>
      </c>
    </row>
    <row r="232" spans="1:18" ht="30" x14ac:dyDescent="0.25">
      <c r="A232" s="2" t="str">
        <f>"MED"&amp;TEXT(Table21[[#This Row],[Count]],"000")&amp;"."&amp;IF(Table21[[#This Row],[Category]]="Essential","E",IF(Table21[[#This Row],[Category]]="Discretionary","D","O"))</f>
        <v>MED196.E</v>
      </c>
      <c r="B232" s="2">
        <f>MAX(Table20[Count])+ROWS(INDEX(Table21[Count],1):Table21[[#This Row],[Count]])</f>
        <v>196</v>
      </c>
      <c r="C232" s="5" t="s">
        <v>49</v>
      </c>
      <c r="D232" s="5" t="s">
        <v>751</v>
      </c>
      <c r="E232" s="2" t="s">
        <v>13</v>
      </c>
      <c r="F232" s="2" t="s">
        <v>127</v>
      </c>
    </row>
    <row r="233" spans="1:18" ht="30" x14ac:dyDescent="0.25">
      <c r="A233" s="2" t="str">
        <f>"MED"&amp;TEXT(Table21[[#This Row],[Count]],"000")&amp;"."&amp;IF(Table21[[#This Row],[Category]]="Essential","E",IF(Table21[[#This Row],[Category]]="Discretionary","D","O"))</f>
        <v>MED197.E</v>
      </c>
      <c r="B233" s="2">
        <f>MAX(Table20[Count])+ROWS(INDEX(Table21[Count],1):Table21[[#This Row],[Count]])</f>
        <v>197</v>
      </c>
      <c r="C233" s="5" t="s">
        <v>49</v>
      </c>
      <c r="D233" s="5" t="s">
        <v>752</v>
      </c>
      <c r="E233" s="2" t="s">
        <v>13</v>
      </c>
      <c r="P233" s="2" t="s">
        <v>127</v>
      </c>
      <c r="R233" s="5" t="s">
        <v>753</v>
      </c>
    </row>
    <row r="234" spans="1:18" x14ac:dyDescent="0.25">
      <c r="A234" s="2" t="str">
        <f>"MED"&amp;TEXT(Table21[[#This Row],[Count]],"000")&amp;"."&amp;IF(Table21[[#This Row],[Category]]="Essential","E",IF(Table21[[#This Row],[Category]]="Discretionary","D","O"))</f>
        <v>MED198.E</v>
      </c>
      <c r="B234" s="2">
        <f>MAX(Table20[Count])+ROWS(INDEX(Table21[Count],1):Table21[[#This Row],[Count]])</f>
        <v>198</v>
      </c>
      <c r="C234" s="5" t="s">
        <v>49</v>
      </c>
      <c r="D234" s="5" t="s">
        <v>754</v>
      </c>
      <c r="E234" s="2" t="s">
        <v>13</v>
      </c>
      <c r="L234" s="2" t="s">
        <v>127</v>
      </c>
      <c r="M234" s="2" t="s">
        <v>127</v>
      </c>
      <c r="N234" s="2" t="s">
        <v>127</v>
      </c>
      <c r="O234" s="2" t="s">
        <v>127</v>
      </c>
      <c r="P234" s="2" t="s">
        <v>127</v>
      </c>
    </row>
    <row r="235" spans="1:18" ht="30" x14ac:dyDescent="0.25">
      <c r="A235" s="2" t="str">
        <f>"MED"&amp;TEXT(Table21[[#This Row],[Count]],"000")&amp;"."&amp;IF(Table21[[#This Row],[Category]]="Essential","E",IF(Table21[[#This Row],[Category]]="Discretionary","D","O"))</f>
        <v>MED199.E</v>
      </c>
      <c r="B235" s="2">
        <f>MAX(Table20[Count])+ROWS(INDEX(Table21[Count],1):Table21[[#This Row],[Count]])</f>
        <v>199</v>
      </c>
      <c r="C235" s="5" t="s">
        <v>49</v>
      </c>
      <c r="D235" s="5" t="s">
        <v>755</v>
      </c>
      <c r="E235" s="2" t="s">
        <v>13</v>
      </c>
      <c r="O235" s="2" t="s">
        <v>127</v>
      </c>
      <c r="P235" s="2" t="s">
        <v>127</v>
      </c>
      <c r="R235" s="5" t="s">
        <v>756</v>
      </c>
    </row>
    <row r="236" spans="1:18" ht="30" x14ac:dyDescent="0.25">
      <c r="A236" s="2" t="str">
        <f>"MED"&amp;TEXT(Table21[[#This Row],[Count]],"000")&amp;"."&amp;IF(Table21[[#This Row],[Category]]="Essential","E",IF(Table21[[#This Row],[Category]]="Discretionary","D","O"))</f>
        <v>MED200.E</v>
      </c>
      <c r="B236" s="2">
        <f>MAX(Table20[Count])+ROWS(INDEX(Table21[Count],1):Table21[[#This Row],[Count]])</f>
        <v>200</v>
      </c>
      <c r="C236" s="5" t="s">
        <v>49</v>
      </c>
      <c r="D236" s="5" t="s">
        <v>757</v>
      </c>
      <c r="E236" s="2" t="s">
        <v>13</v>
      </c>
      <c r="M236" s="2" t="s">
        <v>127</v>
      </c>
      <c r="N236" s="2" t="s">
        <v>127</v>
      </c>
      <c r="O236" s="2" t="s">
        <v>127</v>
      </c>
      <c r="P236" s="2" t="s">
        <v>127</v>
      </c>
    </row>
    <row r="237" spans="1:18" ht="60" x14ac:dyDescent="0.25">
      <c r="A237" s="2" t="str">
        <f>"MED"&amp;TEXT(Table21[[#This Row],[Count]],"000")&amp;"."&amp;IF(Table21[[#This Row],[Category]]="Essential","E",IF(Table21[[#This Row],[Category]]="Discretionary","D","O"))</f>
        <v>MED201.E</v>
      </c>
      <c r="B237" s="2">
        <f>MAX(Table20[Count])+ROWS(INDEX(Table21[Count],1):Table21[[#This Row],[Count]])</f>
        <v>201</v>
      </c>
      <c r="C237" s="5" t="s">
        <v>49</v>
      </c>
      <c r="D237" s="5" t="s">
        <v>758</v>
      </c>
      <c r="E237" s="2" t="s">
        <v>13</v>
      </c>
      <c r="P237" s="2" t="s">
        <v>127</v>
      </c>
      <c r="R237" s="5" t="s">
        <v>759</v>
      </c>
    </row>
    <row r="238" spans="1:18" ht="45" x14ac:dyDescent="0.25">
      <c r="A238" s="2" t="str">
        <f>"MED"&amp;TEXT(Table21[[#This Row],[Count]],"000")&amp;"."&amp;IF(Table21[[#This Row],[Category]]="Essential","E",IF(Table21[[#This Row],[Category]]="Discretionary","D","O"))</f>
        <v>MED202.O</v>
      </c>
      <c r="B238" s="2">
        <f>MAX(Table20[Count])+ROWS(INDEX(Table21[Count],1):Table21[[#This Row],[Count]])</f>
        <v>202</v>
      </c>
      <c r="C238" s="5" t="s">
        <v>49</v>
      </c>
      <c r="D238" s="5" t="s">
        <v>760</v>
      </c>
      <c r="E238" s="2" t="s">
        <v>23</v>
      </c>
      <c r="F238" s="2" t="s">
        <v>127</v>
      </c>
      <c r="R238" s="5" t="s">
        <v>728</v>
      </c>
    </row>
    <row r="239" spans="1:18" ht="30" x14ac:dyDescent="0.25">
      <c r="A239" s="2" t="str">
        <f>"MED"&amp;TEXT(Table21[[#This Row],[Count]],"000")&amp;"."&amp;IF(Table21[[#This Row],[Category]]="Essential","E",IF(Table21[[#This Row],[Category]]="Discretionary","D","O"))</f>
        <v>MED203.O</v>
      </c>
      <c r="B239" s="2">
        <f>MAX(Table20[Count])+ROWS(INDEX(Table21[Count],1):Table21[[#This Row],[Count]])</f>
        <v>203</v>
      </c>
      <c r="C239" s="5" t="s">
        <v>49</v>
      </c>
      <c r="D239" s="5" t="s">
        <v>761</v>
      </c>
      <c r="E239" s="2" t="s">
        <v>23</v>
      </c>
      <c r="O239" s="2" t="s">
        <v>127</v>
      </c>
      <c r="P239" s="2" t="s">
        <v>127</v>
      </c>
      <c r="R239" s="5" t="s">
        <v>762</v>
      </c>
    </row>
    <row r="240" spans="1:18" x14ac:dyDescent="0.25">
      <c r="A240" s="2" t="str">
        <f>"MED"&amp;TEXT(Table21[[#This Row],[Count]],"000")&amp;"."&amp;IF(Table21[[#This Row],[Category]]="Essential","E",IF(Table21[[#This Row],[Category]]="Discretionary","D","O"))</f>
        <v>MED204.E</v>
      </c>
      <c r="B240" s="2">
        <f>MAX(Table20[Count])+ROWS(INDEX(Table21[Count],1):Table21[[#This Row],[Count]])</f>
        <v>204</v>
      </c>
      <c r="C240" s="5" t="s">
        <v>49</v>
      </c>
      <c r="D240" s="5" t="s">
        <v>763</v>
      </c>
      <c r="E240" s="2" t="s">
        <v>13</v>
      </c>
      <c r="L240" s="2" t="s">
        <v>127</v>
      </c>
      <c r="M240" s="2" t="s">
        <v>127</v>
      </c>
      <c r="N240" s="2" t="s">
        <v>127</v>
      </c>
      <c r="O240" s="2" t="s">
        <v>127</v>
      </c>
      <c r="P240" s="2" t="s">
        <v>127</v>
      </c>
    </row>
    <row r="241" spans="1:18" ht="30" x14ac:dyDescent="0.25">
      <c r="A241" s="2" t="str">
        <f>"MED"&amp;TEXT(Table21[[#This Row],[Count]],"000")&amp;"."&amp;IF(Table21[[#This Row],[Category]]="Essential","E",IF(Table21[[#This Row],[Category]]="Discretionary","D","O"))</f>
        <v>MED205.E</v>
      </c>
      <c r="B241" s="2">
        <f>MAX(Table20[Count])+ROWS(INDEX(Table21[Count],1):Table21[[#This Row],[Count]])</f>
        <v>205</v>
      </c>
      <c r="C241" s="5" t="s">
        <v>49</v>
      </c>
      <c r="D241" s="5" t="s">
        <v>764</v>
      </c>
      <c r="E241" s="2" t="s">
        <v>13</v>
      </c>
      <c r="F241" s="2" t="s">
        <v>127</v>
      </c>
    </row>
    <row r="242" spans="1:18" ht="30" x14ac:dyDescent="0.25">
      <c r="A242" s="2" t="str">
        <f>"MED"&amp;TEXT(Table21[[#This Row],[Count]],"000")&amp;"."&amp;IF(Table21[[#This Row],[Category]]="Essential","E",IF(Table21[[#This Row],[Category]]="Discretionary","D","O"))</f>
        <v>MED206.E</v>
      </c>
      <c r="B242" s="2">
        <f>MAX(Table20[Count])+ROWS(INDEX(Table21[Count],1):Table21[[#This Row],[Count]])</f>
        <v>206</v>
      </c>
      <c r="C242" s="5" t="s">
        <v>49</v>
      </c>
      <c r="D242" s="5" t="s">
        <v>765</v>
      </c>
      <c r="E242" s="2" t="s">
        <v>13</v>
      </c>
      <c r="F242" s="2" t="s">
        <v>127</v>
      </c>
    </row>
    <row r="243" spans="1:18" ht="30" x14ac:dyDescent="0.25">
      <c r="A243" s="2" t="str">
        <f>"MED"&amp;TEXT(Table21[[#This Row],[Count]],"000")&amp;"."&amp;IF(Table21[[#This Row],[Category]]="Essential","E",IF(Table21[[#This Row],[Category]]="Discretionary","D","O"))</f>
        <v>MED207.E</v>
      </c>
      <c r="B243" s="2">
        <f>MAX(Table20[Count])+ROWS(INDEX(Table21[Count],1):Table21[[#This Row],[Count]])</f>
        <v>207</v>
      </c>
      <c r="C243" s="5" t="s">
        <v>49</v>
      </c>
      <c r="D243" s="5" t="s">
        <v>766</v>
      </c>
      <c r="E243" s="2" t="s">
        <v>13</v>
      </c>
      <c r="F243" s="2" t="s">
        <v>127</v>
      </c>
    </row>
    <row r="244" spans="1:18" ht="30" x14ac:dyDescent="0.25">
      <c r="A244" s="2" t="str">
        <f>"MED"&amp;TEXT(Table21[[#This Row],[Count]],"000")&amp;"."&amp;IF(Table21[[#This Row],[Category]]="Essential","E",IF(Table21[[#This Row],[Category]]="Discretionary","D","O"))</f>
        <v>MED208.E</v>
      </c>
      <c r="B244" s="2">
        <f>MAX(Table20[Count])+ROWS(INDEX(Table21[Count],1):Table21[[#This Row],[Count]])</f>
        <v>208</v>
      </c>
      <c r="C244" s="5" t="s">
        <v>49</v>
      </c>
      <c r="D244" s="5" t="s">
        <v>767</v>
      </c>
      <c r="E244" s="2" t="s">
        <v>13</v>
      </c>
      <c r="F244" s="2" t="s">
        <v>127</v>
      </c>
    </row>
    <row r="245" spans="1:18" ht="30" x14ac:dyDescent="0.25">
      <c r="A245" s="2" t="str">
        <f>"MED"&amp;TEXT(Table21[[#This Row],[Count]],"000")&amp;"."&amp;IF(Table21[[#This Row],[Category]]="Essential","E",IF(Table21[[#This Row],[Category]]="Discretionary","D","O"))</f>
        <v>MED209.E</v>
      </c>
      <c r="B245" s="2">
        <f>MAX(Table20[Count])+ROWS(INDEX(Table21[Count],1):Table21[[#This Row],[Count]])</f>
        <v>209</v>
      </c>
      <c r="C245" s="5" t="s">
        <v>49</v>
      </c>
      <c r="D245" s="5" t="s">
        <v>768</v>
      </c>
      <c r="E245" s="2" t="s">
        <v>13</v>
      </c>
      <c r="F245" s="2" t="s">
        <v>127</v>
      </c>
    </row>
    <row r="246" spans="1:18" ht="30" x14ac:dyDescent="0.25">
      <c r="A246" s="2" t="str">
        <f>"MED"&amp;TEXT(Table21[[#This Row],[Count]],"000")&amp;"."&amp;IF(Table21[[#This Row],[Category]]="Essential","E",IF(Table21[[#This Row],[Category]]="Discretionary","D","O"))</f>
        <v>MED210.E</v>
      </c>
      <c r="B246" s="2">
        <f>MAX(Table20[Count])+ROWS(INDEX(Table21[Count],1):Table21[[#This Row],[Count]])</f>
        <v>210</v>
      </c>
      <c r="C246" s="5" t="s">
        <v>49</v>
      </c>
      <c r="D246" s="5" t="s">
        <v>769</v>
      </c>
      <c r="E246" s="2" t="s">
        <v>13</v>
      </c>
      <c r="F246" s="2" t="s">
        <v>127</v>
      </c>
    </row>
    <row r="247" spans="1:18" ht="30" x14ac:dyDescent="0.25">
      <c r="A247" s="2" t="str">
        <f>"MED"&amp;TEXT(Table21[[#This Row],[Count]],"000")&amp;"."&amp;IF(Table21[[#This Row],[Category]]="Essential","E",IF(Table21[[#This Row],[Category]]="Discretionary","D","O"))</f>
        <v>MED211.E</v>
      </c>
      <c r="B247" s="2">
        <f>MAX(Table20[Count])+ROWS(INDEX(Table21[Count],1):Table21[[#This Row],[Count]])</f>
        <v>211</v>
      </c>
      <c r="C247" s="5" t="s">
        <v>49</v>
      </c>
      <c r="D247" s="5" t="s">
        <v>770</v>
      </c>
      <c r="E247" s="2" t="s">
        <v>13</v>
      </c>
      <c r="F247" s="2" t="s">
        <v>127</v>
      </c>
    </row>
    <row r="248" spans="1:18" ht="30" x14ac:dyDescent="0.25">
      <c r="A248" s="2" t="str">
        <f>"MED"&amp;TEXT(Table21[[#This Row],[Count]],"000")&amp;"."&amp;IF(Table21[[#This Row],[Category]]="Essential","E",IF(Table21[[#This Row],[Category]]="Discretionary","D","O"))</f>
        <v>MED212.E</v>
      </c>
      <c r="B248" s="2">
        <f>MAX(Table20[Count])+ROWS(INDEX(Table21[Count],1):Table21[[#This Row],[Count]])</f>
        <v>212</v>
      </c>
      <c r="C248" s="5" t="s">
        <v>49</v>
      </c>
      <c r="D248" s="5" t="s">
        <v>771</v>
      </c>
      <c r="E248" s="2" t="s">
        <v>13</v>
      </c>
      <c r="L248" s="2" t="s">
        <v>127</v>
      </c>
      <c r="M248" s="2" t="s">
        <v>127</v>
      </c>
      <c r="N248" s="2" t="s">
        <v>127</v>
      </c>
      <c r="O248" s="2" t="s">
        <v>127</v>
      </c>
      <c r="P248" s="2" t="s">
        <v>127</v>
      </c>
    </row>
    <row r="249" spans="1:18" ht="30" x14ac:dyDescent="0.25">
      <c r="A249" s="2" t="str">
        <f>"MED"&amp;TEXT(Table21[[#This Row],[Count]],"000")&amp;"."&amp;IF(Table21[[#This Row],[Category]]="Essential","E",IF(Table21[[#This Row],[Category]]="Discretionary","D","O"))</f>
        <v>MED213.E</v>
      </c>
      <c r="B249" s="2">
        <f>MAX(Table20[Count])+ROWS(INDEX(Table21[Count],1):Table21[[#This Row],[Count]])</f>
        <v>213</v>
      </c>
      <c r="C249" s="5" t="s">
        <v>49</v>
      </c>
      <c r="D249" s="5" t="s">
        <v>772</v>
      </c>
      <c r="E249" s="2" t="s">
        <v>13</v>
      </c>
      <c r="F249" s="2" t="s">
        <v>127</v>
      </c>
    </row>
    <row r="250" spans="1:18" ht="30" x14ac:dyDescent="0.25">
      <c r="A250" s="2" t="str">
        <f>"MED"&amp;TEXT(Table21[[#This Row],[Count]],"000")&amp;"."&amp;IF(Table21[[#This Row],[Category]]="Essential","E",IF(Table21[[#This Row],[Category]]="Discretionary","D","O"))</f>
        <v>MED214.E</v>
      </c>
      <c r="B250" s="2">
        <f>MAX(Table20[Count])+ROWS(INDEX(Table21[Count],1):Table21[[#This Row],[Count]])</f>
        <v>214</v>
      </c>
      <c r="C250" s="5" t="s">
        <v>49</v>
      </c>
      <c r="D250" s="5" t="s">
        <v>773</v>
      </c>
      <c r="E250" s="2" t="s">
        <v>13</v>
      </c>
      <c r="L250" s="2" t="s">
        <v>127</v>
      </c>
      <c r="M250" s="2" t="s">
        <v>127</v>
      </c>
      <c r="N250" s="2" t="s">
        <v>127</v>
      </c>
      <c r="O250" s="2" t="s">
        <v>127</v>
      </c>
      <c r="P250" s="2" t="s">
        <v>127</v>
      </c>
    </row>
    <row r="251" spans="1:18" ht="30" x14ac:dyDescent="0.25">
      <c r="A251" s="2" t="str">
        <f>"MED"&amp;TEXT(Table21[[#This Row],[Count]],"000")&amp;"."&amp;IF(Table21[[#This Row],[Category]]="Essential","E",IF(Table21[[#This Row],[Category]]="Discretionary","D","O"))</f>
        <v>MED215.E</v>
      </c>
      <c r="B251" s="2">
        <f>MAX(Table20[Count])+ROWS(INDEX(Table21[Count],1):Table21[[#This Row],[Count]])</f>
        <v>215</v>
      </c>
      <c r="C251" s="5" t="s">
        <v>49</v>
      </c>
      <c r="D251" s="5" t="s">
        <v>774</v>
      </c>
      <c r="E251" s="2" t="s">
        <v>13</v>
      </c>
      <c r="O251" s="2" t="s">
        <v>127</v>
      </c>
      <c r="P251" s="2" t="s">
        <v>127</v>
      </c>
      <c r="R251" s="5" t="s">
        <v>756</v>
      </c>
    </row>
    <row r="252" spans="1:18" ht="30" x14ac:dyDescent="0.25">
      <c r="A252" s="2" t="str">
        <f>"MED"&amp;TEXT(Table21[[#This Row],[Count]],"000")&amp;"."&amp;IF(Table21[[#This Row],[Category]]="Essential","E",IF(Table21[[#This Row],[Category]]="Discretionary","D","O"))</f>
        <v>MED216.E</v>
      </c>
      <c r="B252" s="2">
        <f>MAX(Table20[Count])+ROWS(INDEX(Table21[Count],1):Table21[[#This Row],[Count]])</f>
        <v>216</v>
      </c>
      <c r="C252" s="5" t="s">
        <v>49</v>
      </c>
      <c r="D252" s="5" t="s">
        <v>775</v>
      </c>
      <c r="E252" s="2" t="s">
        <v>13</v>
      </c>
      <c r="O252" s="2" t="s">
        <v>127</v>
      </c>
      <c r="R252" s="5" t="s">
        <v>776</v>
      </c>
    </row>
    <row r="253" spans="1:18" x14ac:dyDescent="0.25">
      <c r="A253" s="2" t="str">
        <f>"MED"&amp;TEXT(Table21[[#This Row],[Count]],"000")&amp;"."&amp;IF(Table21[[#This Row],[Category]]="Essential","E",IF(Table21[[#This Row],[Category]]="Discretionary","D","O"))</f>
        <v>MED217.O</v>
      </c>
      <c r="B253" s="2">
        <f>MAX(Table20[Count])+ROWS(INDEX(Table21[Count],1):Table21[[#This Row],[Count]])</f>
        <v>217</v>
      </c>
      <c r="C253" s="5" t="s">
        <v>49</v>
      </c>
      <c r="D253" s="5" t="s">
        <v>777</v>
      </c>
      <c r="E253" s="2" t="s">
        <v>23</v>
      </c>
      <c r="F253" s="2" t="s">
        <v>127</v>
      </c>
    </row>
    <row r="254" spans="1:18" x14ac:dyDescent="0.25">
      <c r="A254" s="2" t="str">
        <f>"MED"&amp;TEXT(Table21[[#This Row],[Count]],"000")&amp;"."&amp;IF(Table21[[#This Row],[Category]]="Essential","E",IF(Table21[[#This Row],[Category]]="Discretionary","D","O"))</f>
        <v>MED218.D</v>
      </c>
      <c r="B254" s="2">
        <f>MAX(Table20[Count])+ROWS(INDEX(Table21[Count],1):Table21[[#This Row],[Count]])</f>
        <v>218</v>
      </c>
      <c r="C254" s="5" t="s">
        <v>49</v>
      </c>
      <c r="D254" s="5" t="s">
        <v>778</v>
      </c>
      <c r="E254" s="2" t="s">
        <v>18</v>
      </c>
      <c r="F254" s="2" t="s">
        <v>127</v>
      </c>
    </row>
    <row r="256" spans="1:18" x14ac:dyDescent="0.25">
      <c r="A256" s="58" t="s">
        <v>52</v>
      </c>
      <c r="B256" s="58"/>
      <c r="C256" s="58"/>
      <c r="D256" s="58"/>
      <c r="E256" s="58"/>
      <c r="F256" s="58"/>
      <c r="G256" s="58"/>
      <c r="H256" s="58"/>
      <c r="I256" s="58"/>
      <c r="J256" s="58"/>
      <c r="K256" s="58"/>
      <c r="L256" s="58"/>
      <c r="M256" s="58"/>
      <c r="N256" s="58"/>
      <c r="O256" s="58"/>
      <c r="P256" s="58"/>
      <c r="Q256" s="58"/>
      <c r="R256" s="58"/>
    </row>
    <row r="258" spans="1:18" x14ac:dyDescent="0.25">
      <c r="A258" s="6" t="s">
        <v>120</v>
      </c>
      <c r="B258" s="6" t="s">
        <v>121</v>
      </c>
      <c r="C258" s="7" t="s">
        <v>122</v>
      </c>
      <c r="D258" s="7" t="s">
        <v>123</v>
      </c>
      <c r="E258" s="6" t="s">
        <v>8</v>
      </c>
      <c r="F258" s="6" t="s">
        <v>124</v>
      </c>
      <c r="G258" s="6" t="s">
        <v>154</v>
      </c>
      <c r="H258" s="6" t="s">
        <v>155</v>
      </c>
      <c r="I258" s="6" t="s">
        <v>156</v>
      </c>
      <c r="J258" s="6" t="s">
        <v>157</v>
      </c>
      <c r="K258" s="6" t="s">
        <v>158</v>
      </c>
      <c r="L258" s="6" t="s">
        <v>159</v>
      </c>
      <c r="M258" s="6" t="s">
        <v>160</v>
      </c>
      <c r="N258" s="6" t="s">
        <v>161</v>
      </c>
      <c r="O258" s="6" t="s">
        <v>162</v>
      </c>
      <c r="P258" s="6" t="s">
        <v>163</v>
      </c>
      <c r="Q258" s="7" t="s">
        <v>164</v>
      </c>
      <c r="R258" s="7" t="s">
        <v>125</v>
      </c>
    </row>
    <row r="259" spans="1:18" ht="30" x14ac:dyDescent="0.25">
      <c r="A259" s="2" t="str">
        <f>"MED"&amp;TEXT(Table22[[#This Row],[Count]],"000")&amp;"."&amp;IF(Table22[[#This Row],[Category]]="Essential","E",IF(Table22[[#This Row],[Category]]="Discretionary","D","O"))</f>
        <v>MED219.E</v>
      </c>
      <c r="B259" s="2">
        <f>MAX(Table21[Count])+ROWS(INDEX(Table22[Count],1):Table22[[#This Row],[Count]])</f>
        <v>219</v>
      </c>
      <c r="C259" s="5" t="s">
        <v>52</v>
      </c>
      <c r="D259" s="5" t="s">
        <v>779</v>
      </c>
      <c r="E259" s="2" t="s">
        <v>13</v>
      </c>
      <c r="M259" s="2" t="s">
        <v>127</v>
      </c>
      <c r="N259" s="2" t="s">
        <v>127</v>
      </c>
      <c r="O259" s="2" t="s">
        <v>127</v>
      </c>
      <c r="P259" s="2" t="s">
        <v>127</v>
      </c>
    </row>
    <row r="260" spans="1:18" ht="30" x14ac:dyDescent="0.25">
      <c r="A260" s="2" t="str">
        <f>"MED"&amp;TEXT(Table22[[#This Row],[Count]],"000")&amp;"."&amp;IF(Table22[[#This Row],[Category]]="Essential","E",IF(Table22[[#This Row],[Category]]="Discretionary","D","O"))</f>
        <v>MED220.E</v>
      </c>
      <c r="B260" s="2">
        <f>MAX(Table21[Count])+ROWS(INDEX(Table22[Count],1):Table22[[#This Row],[Count]])</f>
        <v>220</v>
      </c>
      <c r="C260" s="5" t="s">
        <v>52</v>
      </c>
      <c r="D260" s="5" t="s">
        <v>780</v>
      </c>
      <c r="E260" s="2" t="s">
        <v>13</v>
      </c>
      <c r="L260" s="2" t="s">
        <v>127</v>
      </c>
      <c r="M260" s="2" t="s">
        <v>127</v>
      </c>
      <c r="N260" s="2" t="s">
        <v>127</v>
      </c>
      <c r="O260" s="2" t="s">
        <v>127</v>
      </c>
    </row>
    <row r="261" spans="1:18" ht="30" x14ac:dyDescent="0.25">
      <c r="A261" s="2" t="str">
        <f>"MED"&amp;TEXT(Table22[[#This Row],[Count]],"000")&amp;"."&amp;IF(Table22[[#This Row],[Category]]="Essential","E",IF(Table22[[#This Row],[Category]]="Discretionary","D","O"))</f>
        <v>MED221.E</v>
      </c>
      <c r="B261" s="2">
        <f>MAX(Table21[Count])+ROWS(INDEX(Table22[Count],1):Table22[[#This Row],[Count]])</f>
        <v>221</v>
      </c>
      <c r="C261" s="5" t="s">
        <v>52</v>
      </c>
      <c r="D261" s="5" t="s">
        <v>781</v>
      </c>
      <c r="E261" s="2" t="s">
        <v>13</v>
      </c>
      <c r="L261" s="2" t="s">
        <v>127</v>
      </c>
      <c r="M261" s="2" t="s">
        <v>127</v>
      </c>
      <c r="N261" s="2" t="s">
        <v>127</v>
      </c>
      <c r="O261" s="2" t="s">
        <v>127</v>
      </c>
    </row>
    <row r="262" spans="1:18" ht="30" x14ac:dyDescent="0.25">
      <c r="A262" s="2" t="str">
        <f>"MED"&amp;TEXT(Table22[[#This Row],[Count]],"000")&amp;"."&amp;IF(Table22[[#This Row],[Category]]="Essential","E",IF(Table22[[#This Row],[Category]]="Discretionary","D","O"))</f>
        <v>MED222.E</v>
      </c>
      <c r="B262" s="2">
        <f>MAX(Table21[Count])+ROWS(INDEX(Table22[Count],1):Table22[[#This Row],[Count]])</f>
        <v>222</v>
      </c>
      <c r="C262" s="5" t="s">
        <v>52</v>
      </c>
      <c r="D262" s="5" t="s">
        <v>782</v>
      </c>
      <c r="E262" s="2" t="s">
        <v>13</v>
      </c>
      <c r="L262" s="2" t="s">
        <v>127</v>
      </c>
      <c r="M262" s="2" t="s">
        <v>127</v>
      </c>
      <c r="N262" s="2" t="s">
        <v>127</v>
      </c>
      <c r="O262" s="2" t="s">
        <v>127</v>
      </c>
    </row>
    <row r="263" spans="1:18" x14ac:dyDescent="0.25">
      <c r="A263" s="2" t="str">
        <f>"MED"&amp;TEXT(Table22[[#This Row],[Count]],"000")&amp;"."&amp;IF(Table22[[#This Row],[Category]]="Essential","E",IF(Table22[[#This Row],[Category]]="Discretionary","D","O"))</f>
        <v>MED223.E</v>
      </c>
      <c r="B263" s="2">
        <f>MAX(Table21[Count])+ROWS(INDEX(Table22[Count],1):Table22[[#This Row],[Count]])</f>
        <v>223</v>
      </c>
      <c r="C263" s="5" t="s">
        <v>52</v>
      </c>
      <c r="D263" s="5" t="s">
        <v>783</v>
      </c>
      <c r="E263" s="2" t="s">
        <v>13</v>
      </c>
      <c r="L263" s="2" t="s">
        <v>127</v>
      </c>
      <c r="M263" s="2" t="s">
        <v>127</v>
      </c>
      <c r="N263" s="2" t="s">
        <v>127</v>
      </c>
      <c r="O263" s="2" t="s">
        <v>127</v>
      </c>
    </row>
    <row r="264" spans="1:18" x14ac:dyDescent="0.25">
      <c r="A264" s="2" t="str">
        <f>"MED"&amp;TEXT(Table22[[#This Row],[Count]],"000")&amp;"."&amp;IF(Table22[[#This Row],[Category]]="Essential","E",IF(Table22[[#This Row],[Category]]="Discretionary","D","O"))</f>
        <v>MED224.E</v>
      </c>
      <c r="B264" s="2">
        <f>MAX(Table21[Count])+ROWS(INDEX(Table22[Count],1):Table22[[#This Row],[Count]])</f>
        <v>224</v>
      </c>
      <c r="C264" s="5" t="s">
        <v>52</v>
      </c>
      <c r="D264" s="5" t="s">
        <v>784</v>
      </c>
      <c r="E264" s="2" t="s">
        <v>13</v>
      </c>
      <c r="L264" s="2" t="s">
        <v>127</v>
      </c>
      <c r="M264" s="2" t="s">
        <v>127</v>
      </c>
      <c r="N264" s="2" t="s">
        <v>127</v>
      </c>
      <c r="O264" s="2" t="s">
        <v>127</v>
      </c>
    </row>
    <row r="265" spans="1:18" ht="30" x14ac:dyDescent="0.25">
      <c r="A265" s="2" t="str">
        <f>"MED"&amp;TEXT(Table22[[#This Row],[Count]],"000")&amp;"."&amp;IF(Table22[[#This Row],[Category]]="Essential","E",IF(Table22[[#This Row],[Category]]="Discretionary","D","O"))</f>
        <v>MED225.E</v>
      </c>
      <c r="B265" s="2">
        <f>MAX(Table21[Count])+ROWS(INDEX(Table22[Count],1):Table22[[#This Row],[Count]])</f>
        <v>225</v>
      </c>
      <c r="C265" s="5" t="s">
        <v>52</v>
      </c>
      <c r="D265" s="5" t="s">
        <v>785</v>
      </c>
      <c r="E265" s="2" t="s">
        <v>13</v>
      </c>
      <c r="L265" s="2" t="s">
        <v>127</v>
      </c>
      <c r="M265" s="2" t="s">
        <v>127</v>
      </c>
      <c r="N265" s="2" t="s">
        <v>127</v>
      </c>
      <c r="O265" s="2" t="s">
        <v>127</v>
      </c>
      <c r="R265" s="5" t="s">
        <v>786</v>
      </c>
    </row>
    <row r="266" spans="1:18" ht="45" x14ac:dyDescent="0.25">
      <c r="A266" s="2" t="str">
        <f>"MED"&amp;TEXT(Table22[[#This Row],[Count]],"000")&amp;"."&amp;IF(Table22[[#This Row],[Category]]="Essential","E",IF(Table22[[#This Row],[Category]]="Discretionary","D","O"))</f>
        <v>MED226.E</v>
      </c>
      <c r="B266" s="2">
        <f>MAX(Table21[Count])+ROWS(INDEX(Table22[Count],1):Table22[[#This Row],[Count]])</f>
        <v>226</v>
      </c>
      <c r="C266" s="5" t="s">
        <v>52</v>
      </c>
      <c r="D266" s="5" t="s">
        <v>787</v>
      </c>
      <c r="E266" s="2" t="s">
        <v>13</v>
      </c>
      <c r="L266" s="2" t="s">
        <v>127</v>
      </c>
      <c r="M266" s="2" t="s">
        <v>127</v>
      </c>
      <c r="N266" s="2" t="s">
        <v>127</v>
      </c>
      <c r="O266" s="2" t="s">
        <v>127</v>
      </c>
    </row>
    <row r="267" spans="1:18" ht="30" x14ac:dyDescent="0.25">
      <c r="A267" s="2" t="str">
        <f>"MED"&amp;TEXT(Table22[[#This Row],[Count]],"000")&amp;"."&amp;IF(Table22[[#This Row],[Category]]="Essential","E",IF(Table22[[#This Row],[Category]]="Discretionary","D","O"))</f>
        <v>MED227.E</v>
      </c>
      <c r="B267" s="2">
        <f>MAX(Table21[Count])+ROWS(INDEX(Table22[Count],1):Table22[[#This Row],[Count]])</f>
        <v>227</v>
      </c>
      <c r="C267" s="5" t="s">
        <v>52</v>
      </c>
      <c r="D267" s="5" t="s">
        <v>788</v>
      </c>
      <c r="E267" s="2" t="s">
        <v>13</v>
      </c>
      <c r="L267" s="2" t="s">
        <v>127</v>
      </c>
      <c r="M267" s="2" t="s">
        <v>127</v>
      </c>
      <c r="N267" s="2" t="s">
        <v>127</v>
      </c>
      <c r="O267" s="2" t="s">
        <v>127</v>
      </c>
      <c r="R267" s="5" t="s">
        <v>789</v>
      </c>
    </row>
    <row r="268" spans="1:18" ht="30" x14ac:dyDescent="0.25">
      <c r="A268" s="2" t="str">
        <f>"MED"&amp;TEXT(Table22[[#This Row],[Count]],"000")&amp;"."&amp;IF(Table22[[#This Row],[Category]]="Essential","E",IF(Table22[[#This Row],[Category]]="Discretionary","D","O"))</f>
        <v>MED228.E</v>
      </c>
      <c r="B268" s="2">
        <f>MAX(Table21[Count])+ROWS(INDEX(Table22[Count],1):Table22[[#This Row],[Count]])</f>
        <v>228</v>
      </c>
      <c r="C268" s="5" t="s">
        <v>52</v>
      </c>
      <c r="D268" s="5" t="s">
        <v>790</v>
      </c>
      <c r="E268" s="2" t="s">
        <v>13</v>
      </c>
      <c r="L268" s="2" t="s">
        <v>127</v>
      </c>
      <c r="M268" s="2" t="s">
        <v>127</v>
      </c>
      <c r="N268" s="2" t="s">
        <v>127</v>
      </c>
      <c r="O268" s="2" t="s">
        <v>127</v>
      </c>
      <c r="R268" s="5" t="s">
        <v>789</v>
      </c>
    </row>
    <row r="269" spans="1:18" ht="30" x14ac:dyDescent="0.25">
      <c r="A269" s="2" t="str">
        <f>"MED"&amp;TEXT(Table22[[#This Row],[Count]],"000")&amp;"."&amp;IF(Table22[[#This Row],[Category]]="Essential","E",IF(Table22[[#This Row],[Category]]="Discretionary","D","O"))</f>
        <v>MED229.E</v>
      </c>
      <c r="B269" s="2">
        <f>MAX(Table21[Count])+ROWS(INDEX(Table22[Count],1):Table22[[#This Row],[Count]])</f>
        <v>229</v>
      </c>
      <c r="C269" s="5" t="s">
        <v>52</v>
      </c>
      <c r="D269" s="5" t="s">
        <v>791</v>
      </c>
      <c r="E269" s="2" t="s">
        <v>13</v>
      </c>
      <c r="L269" s="2" t="s">
        <v>127</v>
      </c>
      <c r="M269" s="2" t="s">
        <v>127</v>
      </c>
      <c r="N269" s="2" t="s">
        <v>127</v>
      </c>
      <c r="O269" s="2" t="s">
        <v>127</v>
      </c>
      <c r="R269" s="5" t="s">
        <v>789</v>
      </c>
    </row>
    <row r="270" spans="1:18" ht="45" x14ac:dyDescent="0.25">
      <c r="A270" s="2" t="str">
        <f>"MED"&amp;TEXT(Table22[[#This Row],[Count]],"000")&amp;"."&amp;IF(Table22[[#This Row],[Category]]="Essential","E",IF(Table22[[#This Row],[Category]]="Discretionary","D","O"))</f>
        <v>MED230.E</v>
      </c>
      <c r="B270" s="2">
        <f>MAX(Table21[Count])+ROWS(INDEX(Table22[Count],1):Table22[[#This Row],[Count]])</f>
        <v>230</v>
      </c>
      <c r="C270" s="5" t="s">
        <v>52</v>
      </c>
      <c r="D270" s="5" t="s">
        <v>792</v>
      </c>
      <c r="E270" s="2" t="s">
        <v>13</v>
      </c>
      <c r="L270" s="2" t="s">
        <v>127</v>
      </c>
      <c r="M270" s="2" t="s">
        <v>127</v>
      </c>
      <c r="N270" s="2" t="s">
        <v>127</v>
      </c>
      <c r="O270" s="2" t="s">
        <v>127</v>
      </c>
      <c r="R270" s="5" t="s">
        <v>789</v>
      </c>
    </row>
    <row r="271" spans="1:18" ht="30" x14ac:dyDescent="0.25">
      <c r="A271" s="2" t="str">
        <f>"MED"&amp;TEXT(Table22[[#This Row],[Count]],"000")&amp;"."&amp;IF(Table22[[#This Row],[Category]]="Essential","E",IF(Table22[[#This Row],[Category]]="Discretionary","D","O"))</f>
        <v>MED231.E</v>
      </c>
      <c r="B271" s="2">
        <f>MAX(Table21[Count])+ROWS(INDEX(Table22[Count],1):Table22[[#This Row],[Count]])</f>
        <v>231</v>
      </c>
      <c r="C271" s="5" t="s">
        <v>52</v>
      </c>
      <c r="D271" s="5" t="s">
        <v>793</v>
      </c>
      <c r="E271" s="2" t="s">
        <v>13</v>
      </c>
      <c r="L271" s="2" t="s">
        <v>127</v>
      </c>
      <c r="M271" s="2" t="s">
        <v>127</v>
      </c>
      <c r="N271" s="2" t="s">
        <v>127</v>
      </c>
      <c r="O271" s="2" t="s">
        <v>127</v>
      </c>
    </row>
    <row r="272" spans="1:18" ht="30" x14ac:dyDescent="0.25">
      <c r="A272" s="2" t="str">
        <f>"MED"&amp;TEXT(Table22[[#This Row],[Count]],"000")&amp;"."&amp;IF(Table22[[#This Row],[Category]]="Essential","E",IF(Table22[[#This Row],[Category]]="Discretionary","D","O"))</f>
        <v>MED232.E</v>
      </c>
      <c r="B272" s="2">
        <f>MAX(Table21[Count])+ROWS(INDEX(Table22[Count],1):Table22[[#This Row],[Count]])</f>
        <v>232</v>
      </c>
      <c r="C272" s="5" t="s">
        <v>52</v>
      </c>
      <c r="D272" s="5" t="s">
        <v>794</v>
      </c>
      <c r="E272" s="2" t="s">
        <v>13</v>
      </c>
      <c r="L272" s="2" t="s">
        <v>127</v>
      </c>
      <c r="M272" s="2" t="s">
        <v>127</v>
      </c>
      <c r="N272" s="2" t="s">
        <v>127</v>
      </c>
      <c r="R272" s="5" t="s">
        <v>789</v>
      </c>
    </row>
    <row r="273" spans="1:18" x14ac:dyDescent="0.25">
      <c r="A273" s="2" t="str">
        <f>"MED"&amp;TEXT(Table22[[#This Row],[Count]],"000")&amp;"."&amp;IF(Table22[[#This Row],[Category]]="Essential","E",IF(Table22[[#This Row],[Category]]="Discretionary","D","O"))</f>
        <v>MED233.E</v>
      </c>
      <c r="B273" s="2">
        <f>MAX(Table21[Count])+ROWS(INDEX(Table22[Count],1):Table22[[#This Row],[Count]])</f>
        <v>233</v>
      </c>
      <c r="C273" s="5" t="s">
        <v>52</v>
      </c>
      <c r="D273" s="5" t="s">
        <v>795</v>
      </c>
      <c r="E273" s="2" t="s">
        <v>13</v>
      </c>
      <c r="L273" s="2" t="s">
        <v>127</v>
      </c>
      <c r="M273" s="2" t="s">
        <v>127</v>
      </c>
      <c r="N273" s="2" t="s">
        <v>127</v>
      </c>
      <c r="O273" s="2" t="s">
        <v>127</v>
      </c>
    </row>
    <row r="274" spans="1:18" x14ac:dyDescent="0.25">
      <c r="A274" s="2" t="str">
        <f>"MED"&amp;TEXT(Table22[[#This Row],[Count]],"000")&amp;"."&amp;IF(Table22[[#This Row],[Category]]="Essential","E",IF(Table22[[#This Row],[Category]]="Discretionary","D","O"))</f>
        <v>MED234.E</v>
      </c>
      <c r="B274" s="2">
        <f>MAX(Table21[Count])+ROWS(INDEX(Table22[Count],1):Table22[[#This Row],[Count]])</f>
        <v>234</v>
      </c>
      <c r="C274" s="5" t="s">
        <v>52</v>
      </c>
      <c r="D274" s="5" t="s">
        <v>796</v>
      </c>
      <c r="E274" s="2" t="s">
        <v>13</v>
      </c>
      <c r="L274" s="2" t="s">
        <v>127</v>
      </c>
      <c r="M274" s="2" t="s">
        <v>127</v>
      </c>
      <c r="N274" s="2" t="s">
        <v>127</v>
      </c>
      <c r="O274" s="2" t="s">
        <v>127</v>
      </c>
    </row>
    <row r="275" spans="1:18" ht="30" x14ac:dyDescent="0.25">
      <c r="A275" s="2" t="str">
        <f>"MED"&amp;TEXT(Table22[[#This Row],[Count]],"000")&amp;"."&amp;IF(Table22[[#This Row],[Category]]="Essential","E",IF(Table22[[#This Row],[Category]]="Discretionary","D","O"))</f>
        <v>MED235.E</v>
      </c>
      <c r="B275" s="2">
        <f>MAX(Table21[Count])+ROWS(INDEX(Table22[Count],1):Table22[[#This Row],[Count]])</f>
        <v>235</v>
      </c>
      <c r="C275" s="5" t="s">
        <v>52</v>
      </c>
      <c r="D275" s="5" t="s">
        <v>797</v>
      </c>
      <c r="E275" s="2" t="s">
        <v>13</v>
      </c>
      <c r="F275" s="2" t="s">
        <v>127</v>
      </c>
      <c r="L275" s="2" t="s">
        <v>127</v>
      </c>
      <c r="M275" s="2" t="s">
        <v>127</v>
      </c>
      <c r="N275" s="2" t="s">
        <v>127</v>
      </c>
      <c r="O275" s="2" t="s">
        <v>127</v>
      </c>
      <c r="R275" s="5" t="s">
        <v>798</v>
      </c>
    </row>
    <row r="276" spans="1:18" ht="30" x14ac:dyDescent="0.25">
      <c r="A276" s="2" t="str">
        <f>"MED"&amp;TEXT(Table22[[#This Row],[Count]],"000")&amp;"."&amp;IF(Table22[[#This Row],[Category]]="Essential","E",IF(Table22[[#This Row],[Category]]="Discretionary","D","O"))</f>
        <v>MED236.E</v>
      </c>
      <c r="B276" s="2">
        <f>MAX(Table21[Count])+ROWS(INDEX(Table22[Count],1):Table22[[#This Row],[Count]])</f>
        <v>236</v>
      </c>
      <c r="C276" s="5" t="s">
        <v>52</v>
      </c>
      <c r="D276" s="5" t="s">
        <v>799</v>
      </c>
      <c r="E276" s="2" t="s">
        <v>13</v>
      </c>
      <c r="F276" s="2" t="s">
        <v>127</v>
      </c>
    </row>
    <row r="277" spans="1:18" x14ac:dyDescent="0.25">
      <c r="A277" s="2" t="str">
        <f>"MED"&amp;TEXT(Table22[[#This Row],[Count]],"000")&amp;"."&amp;IF(Table22[[#This Row],[Category]]="Essential","E",IF(Table22[[#This Row],[Category]]="Discretionary","D","O"))</f>
        <v>MED237.E</v>
      </c>
      <c r="B277" s="2">
        <f>MAX(Table21[Count])+ROWS(INDEX(Table22[Count],1):Table22[[#This Row],[Count]])</f>
        <v>237</v>
      </c>
      <c r="C277" s="5" t="s">
        <v>52</v>
      </c>
      <c r="D277" s="5" t="s">
        <v>800</v>
      </c>
      <c r="E277" s="2" t="s">
        <v>13</v>
      </c>
      <c r="L277" s="2" t="s">
        <v>127</v>
      </c>
      <c r="M277" s="2" t="s">
        <v>127</v>
      </c>
      <c r="N277" s="2" t="s">
        <v>127</v>
      </c>
      <c r="O277" s="2" t="s">
        <v>127</v>
      </c>
      <c r="P277" s="2" t="s">
        <v>127</v>
      </c>
      <c r="Q277" s="5" t="s">
        <v>127</v>
      </c>
    </row>
    <row r="278" spans="1:18" x14ac:dyDescent="0.25">
      <c r="A278" s="2" t="str">
        <f>"MED"&amp;TEXT(Table22[[#This Row],[Count]],"000")&amp;"."&amp;IF(Table22[[#This Row],[Category]]="Essential","E",IF(Table22[[#This Row],[Category]]="Discretionary","D","O"))</f>
        <v>MED238.E</v>
      </c>
      <c r="B278" s="2">
        <f>MAX(Table21[Count])+ROWS(INDEX(Table22[Count],1):Table22[[#This Row],[Count]])</f>
        <v>238</v>
      </c>
      <c r="C278" s="5" t="s">
        <v>52</v>
      </c>
      <c r="D278" s="5" t="s">
        <v>801</v>
      </c>
      <c r="E278" s="2" t="s">
        <v>13</v>
      </c>
      <c r="F278" s="2" t="s">
        <v>127</v>
      </c>
    </row>
    <row r="279" spans="1:18" x14ac:dyDescent="0.25">
      <c r="A279" s="2" t="str">
        <f>"MED"&amp;TEXT(Table22[[#This Row],[Count]],"000")&amp;"."&amp;IF(Table22[[#This Row],[Category]]="Essential","E",IF(Table22[[#This Row],[Category]]="Discretionary","D","O"))</f>
        <v>MED239.E</v>
      </c>
      <c r="B279" s="2">
        <f>MAX(Table21[Count])+ROWS(INDEX(Table22[Count],1):Table22[[#This Row],[Count]])</f>
        <v>239</v>
      </c>
      <c r="C279" s="5" t="s">
        <v>52</v>
      </c>
      <c r="D279" s="5" t="s">
        <v>802</v>
      </c>
      <c r="E279" s="2" t="s">
        <v>13</v>
      </c>
      <c r="F279" s="2" t="s">
        <v>127</v>
      </c>
    </row>
    <row r="281" spans="1:18" x14ac:dyDescent="0.25">
      <c r="A281" s="58" t="s">
        <v>55</v>
      </c>
      <c r="B281" s="58"/>
      <c r="C281" s="58"/>
      <c r="D281" s="58"/>
      <c r="E281" s="58"/>
      <c r="F281" s="58"/>
      <c r="G281" s="58"/>
      <c r="H281" s="58"/>
      <c r="I281" s="58"/>
      <c r="J281" s="58"/>
      <c r="K281" s="58"/>
      <c r="L281" s="58"/>
      <c r="M281" s="58"/>
      <c r="N281" s="58"/>
      <c r="O281" s="58"/>
      <c r="P281" s="58"/>
      <c r="Q281" s="58"/>
      <c r="R281" s="58"/>
    </row>
    <row r="283" spans="1:18" x14ac:dyDescent="0.25">
      <c r="A283" s="6" t="s">
        <v>120</v>
      </c>
      <c r="B283" s="6" t="s">
        <v>121</v>
      </c>
      <c r="C283" s="7" t="s">
        <v>122</v>
      </c>
      <c r="D283" s="7" t="s">
        <v>123</v>
      </c>
      <c r="E283" s="6" t="s">
        <v>8</v>
      </c>
      <c r="F283" s="6" t="s">
        <v>124</v>
      </c>
      <c r="G283" s="6" t="s">
        <v>154</v>
      </c>
      <c r="H283" s="6" t="s">
        <v>155</v>
      </c>
      <c r="I283" s="6" t="s">
        <v>156</v>
      </c>
      <c r="J283" s="6" t="s">
        <v>157</v>
      </c>
      <c r="K283" s="6" t="s">
        <v>158</v>
      </c>
      <c r="L283" s="6" t="s">
        <v>159</v>
      </c>
      <c r="M283" s="6" t="s">
        <v>160</v>
      </c>
      <c r="N283" s="6" t="s">
        <v>161</v>
      </c>
      <c r="O283" s="6" t="s">
        <v>162</v>
      </c>
      <c r="P283" s="6" t="s">
        <v>163</v>
      </c>
      <c r="Q283" s="7" t="s">
        <v>164</v>
      </c>
      <c r="R283" s="7" t="s">
        <v>125</v>
      </c>
    </row>
    <row r="284" spans="1:18" ht="30" x14ac:dyDescent="0.25">
      <c r="A284" s="2" t="str">
        <f>"MED"&amp;TEXT(Table23[[#This Row],[Count]],"000")&amp;"."&amp;IF(Table23[[#This Row],[Category]]="Essential","E",IF(Table23[[#This Row],[Category]]="Discretionary","D","O"))</f>
        <v>MED240.E</v>
      </c>
      <c r="B284" s="2">
        <f>MAX(Table22[Count])+ROWS(INDEX(Table23[Count],1):Table23[[#This Row],[Count]])</f>
        <v>240</v>
      </c>
      <c r="C284" s="5" t="s">
        <v>55</v>
      </c>
      <c r="D284" s="5" t="s">
        <v>803</v>
      </c>
      <c r="E284" s="2" t="s">
        <v>13</v>
      </c>
      <c r="M284" s="2" t="s">
        <v>127</v>
      </c>
      <c r="N284" s="2" t="s">
        <v>127</v>
      </c>
      <c r="O284" s="2" t="s">
        <v>127</v>
      </c>
      <c r="P284" s="2" t="s">
        <v>127</v>
      </c>
      <c r="R284" s="5" t="s">
        <v>804</v>
      </c>
    </row>
    <row r="285" spans="1:18" ht="45" x14ac:dyDescent="0.25">
      <c r="A285" s="2" t="str">
        <f>"MED"&amp;TEXT(Table23[[#This Row],[Count]],"000")&amp;"."&amp;IF(Table23[[#This Row],[Category]]="Essential","E",IF(Table23[[#This Row],[Category]]="Discretionary","D","O"))</f>
        <v>MED241.E</v>
      </c>
      <c r="B285" s="2">
        <f>MAX(Table22[Count])+ROWS(INDEX(Table23[Count],1):Table23[[#This Row],[Count]])</f>
        <v>241</v>
      </c>
      <c r="C285" s="5" t="s">
        <v>55</v>
      </c>
      <c r="D285" s="5" t="s">
        <v>805</v>
      </c>
      <c r="E285" s="2" t="s">
        <v>13</v>
      </c>
      <c r="M285" s="2" t="s">
        <v>127</v>
      </c>
      <c r="N285" s="2" t="s">
        <v>127</v>
      </c>
      <c r="O285" s="2" t="s">
        <v>127</v>
      </c>
      <c r="P285" s="2" t="s">
        <v>127</v>
      </c>
      <c r="R285" s="5" t="s">
        <v>806</v>
      </c>
    </row>
    <row r="286" spans="1:18" x14ac:dyDescent="0.25">
      <c r="A286" s="2" t="str">
        <f>"MED"&amp;TEXT(Table23[[#This Row],[Count]],"000")&amp;"."&amp;IF(Table23[[#This Row],[Category]]="Essential","E",IF(Table23[[#This Row],[Category]]="Discretionary","D","O"))</f>
        <v>MED242.E</v>
      </c>
      <c r="B286" s="2">
        <f>MAX(Table22[Count])+ROWS(INDEX(Table23[Count],1):Table23[[#This Row],[Count]])</f>
        <v>242</v>
      </c>
      <c r="C286" s="5" t="s">
        <v>55</v>
      </c>
      <c r="D286" s="5" t="s">
        <v>807</v>
      </c>
      <c r="E286" s="2" t="s">
        <v>13</v>
      </c>
      <c r="L286" s="2" t="s">
        <v>127</v>
      </c>
      <c r="M286" s="2" t="s">
        <v>127</v>
      </c>
      <c r="N286" s="2" t="s">
        <v>127</v>
      </c>
      <c r="O286" s="2" t="s">
        <v>127</v>
      </c>
      <c r="P286" s="2" t="s">
        <v>127</v>
      </c>
      <c r="R286" s="5" t="s">
        <v>808</v>
      </c>
    </row>
    <row r="287" spans="1:18" x14ac:dyDescent="0.25">
      <c r="A287" s="2" t="str">
        <f>"MED"&amp;TEXT(Table23[[#This Row],[Count]],"000")&amp;"."&amp;IF(Table23[[#This Row],[Category]]="Essential","E",IF(Table23[[#This Row],[Category]]="Discretionary","D","O"))</f>
        <v>MED243.E</v>
      </c>
      <c r="B287" s="2">
        <f>MAX(Table22[Count])+ROWS(INDEX(Table23[Count],1):Table23[[#This Row],[Count]])</f>
        <v>243</v>
      </c>
      <c r="C287" s="5" t="s">
        <v>55</v>
      </c>
      <c r="D287" s="5" t="s">
        <v>809</v>
      </c>
      <c r="E287" s="2" t="s">
        <v>13</v>
      </c>
      <c r="M287" s="2" t="s">
        <v>127</v>
      </c>
      <c r="N287" s="2" t="s">
        <v>127</v>
      </c>
      <c r="O287" s="2" t="s">
        <v>127</v>
      </c>
      <c r="P287" s="2" t="s">
        <v>127</v>
      </c>
      <c r="R287" s="5" t="s">
        <v>810</v>
      </c>
    </row>
    <row r="288" spans="1:18" ht="30" x14ac:dyDescent="0.25">
      <c r="A288" s="2" t="str">
        <f>"MED"&amp;TEXT(Table23[[#This Row],[Count]],"000")&amp;"."&amp;IF(Table23[[#This Row],[Category]]="Essential","E",IF(Table23[[#This Row],[Category]]="Discretionary","D","O"))</f>
        <v>MED244.E</v>
      </c>
      <c r="B288" s="2">
        <f>MAX(Table22[Count])+ROWS(INDEX(Table23[Count],1):Table23[[#This Row],[Count]])</f>
        <v>244</v>
      </c>
      <c r="C288" s="5" t="s">
        <v>55</v>
      </c>
      <c r="D288" s="5" t="s">
        <v>811</v>
      </c>
      <c r="E288" s="2" t="s">
        <v>13</v>
      </c>
      <c r="M288" s="2" t="s">
        <v>127</v>
      </c>
      <c r="N288" s="2" t="s">
        <v>127</v>
      </c>
      <c r="O288" s="2" t="s">
        <v>127</v>
      </c>
      <c r="P288" s="2" t="s">
        <v>127</v>
      </c>
    </row>
    <row r="289" spans="1:18" ht="30" x14ac:dyDescent="0.25">
      <c r="A289" s="2" t="str">
        <f>"MED"&amp;TEXT(Table23[[#This Row],[Count]],"000")&amp;"."&amp;IF(Table23[[#This Row],[Category]]="Essential","E",IF(Table23[[#This Row],[Category]]="Discretionary","D","O"))</f>
        <v>MED245.E</v>
      </c>
      <c r="B289" s="2">
        <f>MAX(Table22[Count])+ROWS(INDEX(Table23[Count],1):Table23[[#This Row],[Count]])</f>
        <v>245</v>
      </c>
      <c r="C289" s="5" t="s">
        <v>55</v>
      </c>
      <c r="D289" s="5" t="s">
        <v>812</v>
      </c>
      <c r="E289" s="2" t="s">
        <v>13</v>
      </c>
      <c r="M289" s="2" t="s">
        <v>127</v>
      </c>
      <c r="N289" s="2" t="s">
        <v>127</v>
      </c>
      <c r="O289" s="2" t="s">
        <v>127</v>
      </c>
      <c r="P289" s="2" t="s">
        <v>127</v>
      </c>
    </row>
    <row r="290" spans="1:18" x14ac:dyDescent="0.25">
      <c r="A290" s="2" t="str">
        <f>"MED"&amp;TEXT(Table23[[#This Row],[Count]],"000")&amp;"."&amp;IF(Table23[[#This Row],[Category]]="Essential","E",IF(Table23[[#This Row],[Category]]="Discretionary","D","O"))</f>
        <v>MED246.E</v>
      </c>
      <c r="B290" s="2">
        <f>MAX(Table22[Count])+ROWS(INDEX(Table23[Count],1):Table23[[#This Row],[Count]])</f>
        <v>246</v>
      </c>
      <c r="C290" s="5" t="s">
        <v>55</v>
      </c>
      <c r="D290" s="5" t="s">
        <v>813</v>
      </c>
      <c r="E290" s="2" t="s">
        <v>13</v>
      </c>
      <c r="M290" s="2" t="s">
        <v>127</v>
      </c>
      <c r="N290" s="2" t="s">
        <v>127</v>
      </c>
      <c r="O290" s="2" t="s">
        <v>127</v>
      </c>
      <c r="P290" s="2" t="s">
        <v>127</v>
      </c>
    </row>
    <row r="291" spans="1:18" ht="30" x14ac:dyDescent="0.25">
      <c r="A291" s="2" t="str">
        <f>"MED"&amp;TEXT(Table23[[#This Row],[Count]],"000")&amp;"."&amp;IF(Table23[[#This Row],[Category]]="Essential","E",IF(Table23[[#This Row],[Category]]="Discretionary","D","O"))</f>
        <v>MED247.E</v>
      </c>
      <c r="B291" s="2">
        <f>MAX(Table22[Count])+ROWS(INDEX(Table23[Count],1):Table23[[#This Row],[Count]])</f>
        <v>247</v>
      </c>
      <c r="C291" s="5" t="s">
        <v>55</v>
      </c>
      <c r="D291" s="5" t="s">
        <v>814</v>
      </c>
      <c r="E291" s="2" t="s">
        <v>13</v>
      </c>
      <c r="M291" s="2" t="s">
        <v>127</v>
      </c>
      <c r="N291" s="2" t="s">
        <v>127</v>
      </c>
      <c r="O291" s="2" t="s">
        <v>127</v>
      </c>
      <c r="P291" s="2" t="s">
        <v>127</v>
      </c>
    </row>
    <row r="292" spans="1:18" x14ac:dyDescent="0.25">
      <c r="A292" s="2" t="str">
        <f>"MED"&amp;TEXT(Table23[[#This Row],[Count]],"000")&amp;"."&amp;IF(Table23[[#This Row],[Category]]="Essential","E",IF(Table23[[#This Row],[Category]]="Discretionary","D","O"))</f>
        <v>MED248.E</v>
      </c>
      <c r="B292" s="2">
        <f>MAX(Table22[Count])+ROWS(INDEX(Table23[Count],1):Table23[[#This Row],[Count]])</f>
        <v>248</v>
      </c>
      <c r="C292" s="5" t="s">
        <v>55</v>
      </c>
      <c r="D292" s="5" t="s">
        <v>815</v>
      </c>
      <c r="E292" s="2" t="s">
        <v>13</v>
      </c>
      <c r="M292" s="2" t="s">
        <v>127</v>
      </c>
      <c r="N292" s="2" t="s">
        <v>127</v>
      </c>
      <c r="O292" s="2" t="s">
        <v>127</v>
      </c>
      <c r="P292" s="2" t="s">
        <v>127</v>
      </c>
      <c r="R292" s="5" t="s">
        <v>810</v>
      </c>
    </row>
    <row r="293" spans="1:18" x14ac:dyDescent="0.25">
      <c r="A293" s="2" t="str">
        <f>"MED"&amp;TEXT(Table23[[#This Row],[Count]],"000")&amp;"."&amp;IF(Table23[[#This Row],[Category]]="Essential","E",IF(Table23[[#This Row],[Category]]="Discretionary","D","O"))</f>
        <v>MED249.E</v>
      </c>
      <c r="B293" s="2">
        <f>MAX(Table22[Count])+ROWS(INDEX(Table23[Count],1):Table23[[#This Row],[Count]])</f>
        <v>249</v>
      </c>
      <c r="C293" s="5" t="s">
        <v>55</v>
      </c>
      <c r="D293" s="5" t="s">
        <v>816</v>
      </c>
      <c r="E293" s="2" t="s">
        <v>13</v>
      </c>
      <c r="M293" s="2" t="s">
        <v>127</v>
      </c>
      <c r="N293" s="2" t="s">
        <v>127</v>
      </c>
      <c r="O293" s="2" t="s">
        <v>127</v>
      </c>
      <c r="P293" s="2" t="s">
        <v>127</v>
      </c>
    </row>
    <row r="294" spans="1:18" x14ac:dyDescent="0.25">
      <c r="A294" s="2" t="str">
        <f>"MED"&amp;TEXT(Table23[[#This Row],[Count]],"000")&amp;"."&amp;IF(Table23[[#This Row],[Category]]="Essential","E",IF(Table23[[#This Row],[Category]]="Discretionary","D","O"))</f>
        <v>MED250.E</v>
      </c>
      <c r="B294" s="2">
        <f>MAX(Table22[Count])+ROWS(INDEX(Table23[Count],1):Table23[[#This Row],[Count]])</f>
        <v>250</v>
      </c>
      <c r="C294" s="5" t="s">
        <v>55</v>
      </c>
      <c r="D294" s="5" t="s">
        <v>817</v>
      </c>
      <c r="E294" s="2" t="s">
        <v>13</v>
      </c>
      <c r="F294" s="2" t="s">
        <v>127</v>
      </c>
    </row>
    <row r="295" spans="1:18" x14ac:dyDescent="0.25">
      <c r="A295" s="2" t="str">
        <f>"MED"&amp;TEXT(Table23[[#This Row],[Count]],"000")&amp;"."&amp;IF(Table23[[#This Row],[Category]]="Essential","E",IF(Table23[[#This Row],[Category]]="Discretionary","D","O"))</f>
        <v>MED251.E</v>
      </c>
      <c r="B295" s="2">
        <f>MAX(Table22[Count])+ROWS(INDEX(Table23[Count],1):Table23[[#This Row],[Count]])</f>
        <v>251</v>
      </c>
      <c r="C295" s="5" t="s">
        <v>55</v>
      </c>
      <c r="D295" s="5" t="s">
        <v>818</v>
      </c>
      <c r="E295" s="2" t="s">
        <v>13</v>
      </c>
      <c r="M295" s="2" t="s">
        <v>127</v>
      </c>
      <c r="N295" s="2" t="s">
        <v>127</v>
      </c>
      <c r="O295" s="2" t="s">
        <v>127</v>
      </c>
      <c r="P295" s="2" t="s">
        <v>127</v>
      </c>
    </row>
    <row r="296" spans="1:18" ht="30" x14ac:dyDescent="0.25">
      <c r="A296" s="2" t="str">
        <f>"MED"&amp;TEXT(Table23[[#This Row],[Count]],"000")&amp;"."&amp;IF(Table23[[#This Row],[Category]]="Essential","E",IF(Table23[[#This Row],[Category]]="Discretionary","D","O"))</f>
        <v>MED252.D</v>
      </c>
      <c r="B296" s="2">
        <f>MAX(Table22[Count])+ROWS(INDEX(Table23[Count],1):Table23[[#This Row],[Count]])</f>
        <v>252</v>
      </c>
      <c r="C296" s="5" t="s">
        <v>55</v>
      </c>
      <c r="D296" s="5" t="s">
        <v>819</v>
      </c>
      <c r="E296" s="2" t="s">
        <v>18</v>
      </c>
      <c r="M296" s="2" t="s">
        <v>127</v>
      </c>
      <c r="N296" s="2" t="s">
        <v>127</v>
      </c>
      <c r="O296" s="2" t="s">
        <v>127</v>
      </c>
      <c r="P296" s="2" t="s">
        <v>127</v>
      </c>
    </row>
    <row r="297" spans="1:18" ht="30" x14ac:dyDescent="0.25">
      <c r="A297" s="2" t="str">
        <f>"MED"&amp;TEXT(Table23[[#This Row],[Count]],"000")&amp;"."&amp;IF(Table23[[#This Row],[Category]]="Essential","E",IF(Table23[[#This Row],[Category]]="Discretionary","D","O"))</f>
        <v>MED253.E</v>
      </c>
      <c r="B297" s="2">
        <f>MAX(Table22[Count])+ROWS(INDEX(Table23[Count],1):Table23[[#This Row],[Count]])</f>
        <v>253</v>
      </c>
      <c r="C297" s="5" t="s">
        <v>55</v>
      </c>
      <c r="D297" s="5" t="s">
        <v>820</v>
      </c>
      <c r="E297" s="2" t="s">
        <v>13</v>
      </c>
      <c r="M297" s="2" t="s">
        <v>127</v>
      </c>
      <c r="N297" s="2" t="s">
        <v>127</v>
      </c>
      <c r="O297" s="2" t="s">
        <v>127</v>
      </c>
      <c r="P297" s="2" t="s">
        <v>127</v>
      </c>
    </row>
    <row r="298" spans="1:18" ht="30" x14ac:dyDescent="0.25">
      <c r="A298" s="2" t="str">
        <f>"MED"&amp;TEXT(Table23[[#This Row],[Count]],"000")&amp;"."&amp;IF(Table23[[#This Row],[Category]]="Essential","E",IF(Table23[[#This Row],[Category]]="Discretionary","D","O"))</f>
        <v>MED254.E</v>
      </c>
      <c r="B298" s="2">
        <f>MAX(Table22[Count])+ROWS(INDEX(Table23[Count],1):Table23[[#This Row],[Count]])</f>
        <v>254</v>
      </c>
      <c r="C298" s="5" t="s">
        <v>55</v>
      </c>
      <c r="D298" s="5" t="s">
        <v>821</v>
      </c>
      <c r="E298" s="2" t="s">
        <v>13</v>
      </c>
      <c r="M298" s="2" t="s">
        <v>127</v>
      </c>
      <c r="N298" s="2" t="s">
        <v>127</v>
      </c>
      <c r="O298" s="2" t="s">
        <v>127</v>
      </c>
      <c r="P298" s="2" t="s">
        <v>127</v>
      </c>
    </row>
    <row r="299" spans="1:18" ht="30" x14ac:dyDescent="0.25">
      <c r="A299" s="2" t="str">
        <f>"MED"&amp;TEXT(Table23[[#This Row],[Count]],"000")&amp;"."&amp;IF(Table23[[#This Row],[Category]]="Essential","E",IF(Table23[[#This Row],[Category]]="Discretionary","D","O"))</f>
        <v>MED255.D</v>
      </c>
      <c r="B299" s="2">
        <f>MAX(Table22[Count])+ROWS(INDEX(Table23[Count],1):Table23[[#This Row],[Count]])</f>
        <v>255</v>
      </c>
      <c r="C299" s="5" t="s">
        <v>55</v>
      </c>
      <c r="D299" s="5" t="s">
        <v>822</v>
      </c>
      <c r="E299" s="2" t="s">
        <v>18</v>
      </c>
      <c r="M299" s="2" t="s">
        <v>127</v>
      </c>
      <c r="N299" s="2" t="s">
        <v>127</v>
      </c>
      <c r="O299" s="2" t="s">
        <v>127</v>
      </c>
      <c r="P299" s="2" t="s">
        <v>127</v>
      </c>
    </row>
    <row r="300" spans="1:18" ht="30" x14ac:dyDescent="0.25">
      <c r="A300" s="2" t="str">
        <f>"MED"&amp;TEXT(Table23[[#This Row],[Count]],"000")&amp;"."&amp;IF(Table23[[#This Row],[Category]]="Essential","E",IF(Table23[[#This Row],[Category]]="Discretionary","D","O"))</f>
        <v>MED256.E</v>
      </c>
      <c r="B300" s="2">
        <f>MAX(Table22[Count])+ROWS(INDEX(Table23[Count],1):Table23[[#This Row],[Count]])</f>
        <v>256</v>
      </c>
      <c r="C300" s="5" t="s">
        <v>55</v>
      </c>
      <c r="D300" s="5" t="s">
        <v>823</v>
      </c>
      <c r="E300" s="2" t="s">
        <v>13</v>
      </c>
      <c r="F300" s="2" t="s">
        <v>127</v>
      </c>
    </row>
    <row r="301" spans="1:18" ht="30" x14ac:dyDescent="0.25">
      <c r="A301" s="2" t="str">
        <f>"MED"&amp;TEXT(Table23[[#This Row],[Count]],"000")&amp;"."&amp;IF(Table23[[#This Row],[Category]]="Essential","E",IF(Table23[[#This Row],[Category]]="Discretionary","D","O"))</f>
        <v>MED257.E</v>
      </c>
      <c r="B301" s="2">
        <f>MAX(Table22[Count])+ROWS(INDEX(Table23[Count],1):Table23[[#This Row],[Count]])</f>
        <v>257</v>
      </c>
      <c r="C301" s="5" t="s">
        <v>55</v>
      </c>
      <c r="D301" s="5" t="s">
        <v>824</v>
      </c>
      <c r="E301" s="2" t="s">
        <v>13</v>
      </c>
      <c r="M301" s="2" t="s">
        <v>127</v>
      </c>
      <c r="N301" s="2" t="s">
        <v>127</v>
      </c>
      <c r="O301" s="2" t="s">
        <v>127</v>
      </c>
      <c r="P301" s="2" t="s">
        <v>127</v>
      </c>
    </row>
    <row r="302" spans="1:18" ht="30" x14ac:dyDescent="0.25">
      <c r="A302" s="2" t="str">
        <f>"MED"&amp;TEXT(Table23[[#This Row],[Count]],"000")&amp;"."&amp;IF(Table23[[#This Row],[Category]]="Essential","E",IF(Table23[[#This Row],[Category]]="Discretionary","D","O"))</f>
        <v>MED258.E</v>
      </c>
      <c r="B302" s="2">
        <f>MAX(Table22[Count])+ROWS(INDEX(Table23[Count],1):Table23[[#This Row],[Count]])</f>
        <v>258</v>
      </c>
      <c r="C302" s="5" t="s">
        <v>55</v>
      </c>
      <c r="D302" s="5" t="s">
        <v>825</v>
      </c>
      <c r="E302" s="2" t="s">
        <v>13</v>
      </c>
      <c r="M302" s="2" t="s">
        <v>127</v>
      </c>
      <c r="N302" s="2" t="s">
        <v>127</v>
      </c>
      <c r="O302" s="2" t="s">
        <v>127</v>
      </c>
      <c r="P302" s="2" t="s">
        <v>127</v>
      </c>
    </row>
    <row r="303" spans="1:18" ht="30" x14ac:dyDescent="0.25">
      <c r="A303" s="2" t="str">
        <f>"MED"&amp;TEXT(Table23[[#This Row],[Count]],"000")&amp;"."&amp;IF(Table23[[#This Row],[Category]]="Essential","E",IF(Table23[[#This Row],[Category]]="Discretionary","D","O"))</f>
        <v>MED259.E</v>
      </c>
      <c r="B303" s="2">
        <f>MAX(Table22[Count])+ROWS(INDEX(Table23[Count],1):Table23[[#This Row],[Count]])</f>
        <v>259</v>
      </c>
      <c r="C303" s="5" t="s">
        <v>55</v>
      </c>
      <c r="D303" s="5" t="s">
        <v>826</v>
      </c>
      <c r="E303" s="2" t="s">
        <v>13</v>
      </c>
      <c r="F303" s="2" t="s">
        <v>127</v>
      </c>
      <c r="R303" s="5" t="s">
        <v>810</v>
      </c>
    </row>
    <row r="304" spans="1:18" ht="30" x14ac:dyDescent="0.25">
      <c r="A304" s="2" t="str">
        <f>"MED"&amp;TEXT(Table23[[#This Row],[Count]],"000")&amp;"."&amp;IF(Table23[[#This Row],[Category]]="Essential","E",IF(Table23[[#This Row],[Category]]="Discretionary","D","O"))</f>
        <v>MED260.E</v>
      </c>
      <c r="B304" s="2">
        <f>MAX(Table22[Count])+ROWS(INDEX(Table23[Count],1):Table23[[#This Row],[Count]])</f>
        <v>260</v>
      </c>
      <c r="C304" s="5" t="s">
        <v>55</v>
      </c>
      <c r="D304" s="5" t="s">
        <v>827</v>
      </c>
      <c r="E304" s="2" t="s">
        <v>13</v>
      </c>
      <c r="L304" s="2" t="s">
        <v>127</v>
      </c>
      <c r="M304" s="2" t="s">
        <v>127</v>
      </c>
      <c r="N304" s="2" t="s">
        <v>127</v>
      </c>
      <c r="O304" s="2" t="s">
        <v>127</v>
      </c>
      <c r="P304" s="2" t="s">
        <v>127</v>
      </c>
    </row>
    <row r="305" spans="1:18" x14ac:dyDescent="0.25">
      <c r="A305" s="2" t="str">
        <f>"MED"&amp;TEXT(Table23[[#This Row],[Count]],"000")&amp;"."&amp;IF(Table23[[#This Row],[Category]]="Essential","E",IF(Table23[[#This Row],[Category]]="Discretionary","D","O"))</f>
        <v>MED261.D</v>
      </c>
      <c r="B305" s="2">
        <f>MAX(Table22[Count])+ROWS(INDEX(Table23[Count],1):Table23[[#This Row],[Count]])</f>
        <v>261</v>
      </c>
      <c r="C305" s="5" t="s">
        <v>55</v>
      </c>
      <c r="D305" s="5" t="s">
        <v>828</v>
      </c>
      <c r="E305" s="2" t="s">
        <v>18</v>
      </c>
      <c r="M305" s="2" t="s">
        <v>127</v>
      </c>
      <c r="N305" s="2" t="s">
        <v>127</v>
      </c>
      <c r="O305" s="2" t="s">
        <v>127</v>
      </c>
      <c r="P305" s="2" t="s">
        <v>127</v>
      </c>
    </row>
    <row r="306" spans="1:18" x14ac:dyDescent="0.25">
      <c r="A306" s="2" t="str">
        <f>"MED"&amp;TEXT(Table23[[#This Row],[Count]],"000")&amp;"."&amp;IF(Table23[[#This Row],[Category]]="Essential","E",IF(Table23[[#This Row],[Category]]="Discretionary","D","O"))</f>
        <v>MED262.E</v>
      </c>
      <c r="B306" s="2">
        <f>MAX(Table22[Count])+ROWS(INDEX(Table23[Count],1):Table23[[#This Row],[Count]])</f>
        <v>262</v>
      </c>
      <c r="C306" s="5" t="s">
        <v>55</v>
      </c>
      <c r="D306" s="5" t="s">
        <v>829</v>
      </c>
      <c r="E306" s="2" t="s">
        <v>13</v>
      </c>
      <c r="M306" s="2" t="s">
        <v>127</v>
      </c>
      <c r="N306" s="2" t="s">
        <v>127</v>
      </c>
      <c r="O306" s="2" t="s">
        <v>127</v>
      </c>
      <c r="P306" s="2" t="s">
        <v>127</v>
      </c>
      <c r="R306" s="5" t="s">
        <v>804</v>
      </c>
    </row>
    <row r="307" spans="1:18" ht="30" x14ac:dyDescent="0.25">
      <c r="A307" s="2" t="str">
        <f>"MED"&amp;TEXT(Table23[[#This Row],[Count]],"000")&amp;"."&amp;IF(Table23[[#This Row],[Category]]="Essential","E",IF(Table23[[#This Row],[Category]]="Discretionary","D","O"))</f>
        <v>MED263.E</v>
      </c>
      <c r="B307" s="2">
        <f>MAX(Table22[Count])+ROWS(INDEX(Table23[Count],1):Table23[[#This Row],[Count]])</f>
        <v>263</v>
      </c>
      <c r="C307" s="5" t="s">
        <v>55</v>
      </c>
      <c r="D307" s="5" t="s">
        <v>830</v>
      </c>
      <c r="E307" s="2" t="s">
        <v>13</v>
      </c>
      <c r="M307" s="2" t="s">
        <v>127</v>
      </c>
      <c r="N307" s="2" t="s">
        <v>127</v>
      </c>
      <c r="O307" s="2" t="s">
        <v>127</v>
      </c>
      <c r="P307" s="2" t="s">
        <v>127</v>
      </c>
    </row>
    <row r="308" spans="1:18" ht="30" x14ac:dyDescent="0.25">
      <c r="A308" s="2" t="str">
        <f>"MED"&amp;TEXT(Table23[[#This Row],[Count]],"000")&amp;"."&amp;IF(Table23[[#This Row],[Category]]="Essential","E",IF(Table23[[#This Row],[Category]]="Discretionary","D","O"))</f>
        <v>MED264.E</v>
      </c>
      <c r="B308" s="2">
        <f>MAX(Table22[Count])+ROWS(INDEX(Table23[Count],1):Table23[[#This Row],[Count]])</f>
        <v>264</v>
      </c>
      <c r="C308" s="5" t="s">
        <v>55</v>
      </c>
      <c r="D308" s="5" t="s">
        <v>831</v>
      </c>
      <c r="E308" s="2" t="s">
        <v>13</v>
      </c>
      <c r="M308" s="2" t="s">
        <v>127</v>
      </c>
      <c r="N308" s="2" t="s">
        <v>127</v>
      </c>
      <c r="O308" s="2" t="s">
        <v>127</v>
      </c>
      <c r="P308" s="2" t="s">
        <v>127</v>
      </c>
      <c r="R308" s="5" t="s">
        <v>804</v>
      </c>
    </row>
    <row r="309" spans="1:18" x14ac:dyDescent="0.25">
      <c r="A309" s="2" t="str">
        <f>"MED"&amp;TEXT(Table23[[#This Row],[Count]],"000")&amp;"."&amp;IF(Table23[[#This Row],[Category]]="Essential","E",IF(Table23[[#This Row],[Category]]="Discretionary","D","O"))</f>
        <v>MED265.E</v>
      </c>
      <c r="B309" s="2">
        <f>MAX(Table22[Count])+ROWS(INDEX(Table23[Count],1):Table23[[#This Row],[Count]])</f>
        <v>265</v>
      </c>
      <c r="C309" s="5" t="s">
        <v>55</v>
      </c>
      <c r="D309" s="5" t="s">
        <v>832</v>
      </c>
      <c r="E309" s="2" t="s">
        <v>13</v>
      </c>
      <c r="M309" s="2" t="s">
        <v>127</v>
      </c>
      <c r="N309" s="2" t="s">
        <v>127</v>
      </c>
      <c r="O309" s="2" t="s">
        <v>127</v>
      </c>
      <c r="P309" s="2" t="s">
        <v>127</v>
      </c>
    </row>
    <row r="310" spans="1:18" ht="30" x14ac:dyDescent="0.25">
      <c r="A310" s="2" t="str">
        <f>"MED"&amp;TEXT(Table23[[#This Row],[Count]],"000")&amp;"."&amp;IF(Table23[[#This Row],[Category]]="Essential","E",IF(Table23[[#This Row],[Category]]="Discretionary","D","O"))</f>
        <v>MED266.E</v>
      </c>
      <c r="B310" s="2">
        <f>MAX(Table22[Count])+ROWS(INDEX(Table23[Count],1):Table23[[#This Row],[Count]])</f>
        <v>266</v>
      </c>
      <c r="C310" s="5" t="s">
        <v>55</v>
      </c>
      <c r="D310" s="5" t="s">
        <v>833</v>
      </c>
      <c r="E310" s="2" t="s">
        <v>13</v>
      </c>
      <c r="L310" s="2" t="s">
        <v>127</v>
      </c>
      <c r="M310" s="2" t="s">
        <v>127</v>
      </c>
      <c r="N310" s="2" t="s">
        <v>127</v>
      </c>
      <c r="O310" s="2" t="s">
        <v>127</v>
      </c>
      <c r="P310" s="2" t="s">
        <v>127</v>
      </c>
      <c r="R310" s="5" t="s">
        <v>808</v>
      </c>
    </row>
    <row r="311" spans="1:18" ht="45" x14ac:dyDescent="0.25">
      <c r="A311" s="2" t="str">
        <f>"MED"&amp;TEXT(Table23[[#This Row],[Count]],"000")&amp;"."&amp;IF(Table23[[#This Row],[Category]]="Essential","E",IF(Table23[[#This Row],[Category]]="Discretionary","D","O"))</f>
        <v>MED267.E</v>
      </c>
      <c r="B311" s="2">
        <f>MAX(Table22[Count])+ROWS(INDEX(Table23[Count],1):Table23[[#This Row],[Count]])</f>
        <v>267</v>
      </c>
      <c r="C311" s="5" t="s">
        <v>55</v>
      </c>
      <c r="D311" s="5" t="s">
        <v>834</v>
      </c>
      <c r="E311" s="2" t="s">
        <v>13</v>
      </c>
      <c r="M311" s="2" t="s">
        <v>127</v>
      </c>
      <c r="N311" s="2" t="s">
        <v>127</v>
      </c>
      <c r="O311" s="2" t="s">
        <v>127</v>
      </c>
      <c r="P311" s="2" t="s">
        <v>127</v>
      </c>
      <c r="R311" s="5" t="s">
        <v>835</v>
      </c>
    </row>
    <row r="313" spans="1:18" x14ac:dyDescent="0.25">
      <c r="A313" s="58" t="s">
        <v>57</v>
      </c>
      <c r="B313" s="58"/>
      <c r="C313" s="58"/>
      <c r="D313" s="58"/>
      <c r="E313" s="58"/>
      <c r="F313" s="58"/>
      <c r="G313" s="58"/>
      <c r="H313" s="58"/>
      <c r="I313" s="58"/>
      <c r="J313" s="58"/>
      <c r="K313" s="58"/>
      <c r="L313" s="58"/>
      <c r="M313" s="58"/>
      <c r="N313" s="58"/>
      <c r="O313" s="58"/>
      <c r="P313" s="58"/>
      <c r="Q313" s="58"/>
      <c r="R313" s="58"/>
    </row>
    <row r="315" spans="1:18" x14ac:dyDescent="0.25">
      <c r="A315" s="6" t="s">
        <v>120</v>
      </c>
      <c r="B315" s="6" t="s">
        <v>121</v>
      </c>
      <c r="C315" s="7" t="s">
        <v>122</v>
      </c>
      <c r="D315" s="7" t="s">
        <v>123</v>
      </c>
      <c r="E315" s="6" t="s">
        <v>8</v>
      </c>
      <c r="F315" s="6" t="s">
        <v>124</v>
      </c>
      <c r="G315" s="6" t="s">
        <v>154</v>
      </c>
      <c r="H315" s="6" t="s">
        <v>155</v>
      </c>
      <c r="I315" s="6" t="s">
        <v>156</v>
      </c>
      <c r="J315" s="6" t="s">
        <v>157</v>
      </c>
      <c r="K315" s="6" t="s">
        <v>158</v>
      </c>
      <c r="L315" s="6" t="s">
        <v>159</v>
      </c>
      <c r="M315" s="6" t="s">
        <v>160</v>
      </c>
      <c r="N315" s="6" t="s">
        <v>161</v>
      </c>
      <c r="O315" s="6" t="s">
        <v>162</v>
      </c>
      <c r="P315" s="6" t="s">
        <v>163</v>
      </c>
      <c r="Q315" s="7" t="s">
        <v>164</v>
      </c>
      <c r="R315" s="7" t="s">
        <v>125</v>
      </c>
    </row>
    <row r="316" spans="1:18" x14ac:dyDescent="0.25">
      <c r="A316" s="2" t="str">
        <f>"MED"&amp;TEXT(Table24[[#This Row],[Count]],"000")&amp;"."&amp;IF(Table24[[#This Row],[Category]]="Essential","E",IF(Table24[[#This Row],[Category]]="Discretionary","D","O"))</f>
        <v>MED268.O</v>
      </c>
      <c r="B316" s="2">
        <f>MAX(Table23[Count])+ROWS(INDEX(Table24[Count],1):Table24[[#This Row],[Count]])</f>
        <v>268</v>
      </c>
      <c r="C316" s="5" t="s">
        <v>57</v>
      </c>
      <c r="D316" s="5" t="s">
        <v>57</v>
      </c>
      <c r="E316" s="2" t="s">
        <v>23</v>
      </c>
      <c r="R316" s="5" t="s">
        <v>836</v>
      </c>
    </row>
    <row r="318" spans="1:18" x14ac:dyDescent="0.25">
      <c r="A318" s="58" t="s">
        <v>60</v>
      </c>
      <c r="B318" s="58"/>
      <c r="C318" s="58"/>
      <c r="D318" s="58"/>
      <c r="E318" s="58"/>
      <c r="F318" s="58"/>
      <c r="G318" s="58"/>
      <c r="H318" s="58"/>
      <c r="I318" s="58"/>
      <c r="J318" s="58"/>
      <c r="K318" s="58"/>
      <c r="L318" s="58"/>
      <c r="M318" s="58"/>
      <c r="N318" s="58"/>
      <c r="O318" s="58"/>
      <c r="P318" s="58"/>
      <c r="Q318" s="58"/>
      <c r="R318" s="58"/>
    </row>
    <row r="320" spans="1:18" x14ac:dyDescent="0.25">
      <c r="A320" s="6" t="s">
        <v>120</v>
      </c>
      <c r="B320" s="6" t="s">
        <v>121</v>
      </c>
      <c r="C320" s="7" t="s">
        <v>122</v>
      </c>
      <c r="D320" s="7" t="s">
        <v>123</v>
      </c>
      <c r="E320" s="6" t="s">
        <v>8</v>
      </c>
      <c r="F320" s="6" t="s">
        <v>124</v>
      </c>
      <c r="G320" s="6" t="s">
        <v>154</v>
      </c>
      <c r="H320" s="6" t="s">
        <v>155</v>
      </c>
      <c r="I320" s="6" t="s">
        <v>156</v>
      </c>
      <c r="J320" s="6" t="s">
        <v>157</v>
      </c>
      <c r="K320" s="6" t="s">
        <v>158</v>
      </c>
      <c r="L320" s="6" t="s">
        <v>159</v>
      </c>
      <c r="M320" s="6" t="s">
        <v>160</v>
      </c>
      <c r="N320" s="6" t="s">
        <v>161</v>
      </c>
      <c r="O320" s="6" t="s">
        <v>162</v>
      </c>
      <c r="P320" s="6" t="s">
        <v>163</v>
      </c>
      <c r="Q320" s="7" t="s">
        <v>164</v>
      </c>
      <c r="R320" s="7" t="s">
        <v>125</v>
      </c>
    </row>
    <row r="321" spans="1:16" x14ac:dyDescent="0.25">
      <c r="A321" s="2" t="str">
        <f>"MED"&amp;TEXT(Table25[[#This Row],[Count]],"000")&amp;"."&amp;IF(Table25[[#This Row],[Category]]="Essential","E",IF(Table25[[#This Row],[Category]]="Discretionary","D","O"))</f>
        <v>MED269.D</v>
      </c>
      <c r="B321" s="2">
        <f>MAX(Table24[Count])+ROWS(INDEX(Table25[Count],1):Table25[[#This Row],[Count]])</f>
        <v>269</v>
      </c>
      <c r="C321" s="5" t="s">
        <v>60</v>
      </c>
      <c r="D321" s="5" t="s">
        <v>837</v>
      </c>
      <c r="E321" s="2" t="s">
        <v>18</v>
      </c>
      <c r="O321" s="2" t="s">
        <v>127</v>
      </c>
      <c r="P321" s="2" t="s">
        <v>127</v>
      </c>
    </row>
    <row r="322" spans="1:16" x14ac:dyDescent="0.25">
      <c r="A322" s="2" t="str">
        <f>"MED"&amp;TEXT(Table25[[#This Row],[Count]],"000")&amp;"."&amp;IF(Table25[[#This Row],[Category]]="Essential","E",IF(Table25[[#This Row],[Category]]="Discretionary","D","O"))</f>
        <v>MED270.E</v>
      </c>
      <c r="B322" s="2">
        <f>MAX(Table24[Count])+ROWS(INDEX(Table25[Count],1):Table25[[#This Row],[Count]])</f>
        <v>270</v>
      </c>
      <c r="C322" s="5" t="s">
        <v>60</v>
      </c>
      <c r="D322" s="5" t="s">
        <v>838</v>
      </c>
      <c r="E322" s="2" t="s">
        <v>13</v>
      </c>
      <c r="L322" s="2" t="s">
        <v>127</v>
      </c>
    </row>
    <row r="323" spans="1:16" x14ac:dyDescent="0.25">
      <c r="A323" s="2" t="str">
        <f>"MED"&amp;TEXT(Table25[[#This Row],[Count]],"000")&amp;"."&amp;IF(Table25[[#This Row],[Category]]="Essential","E",IF(Table25[[#This Row],[Category]]="Discretionary","D","O"))</f>
        <v>MED271.E</v>
      </c>
      <c r="B323" s="2">
        <f>MAX(Table24[Count])+ROWS(INDEX(Table25[Count],1):Table25[[#This Row],[Count]])</f>
        <v>271</v>
      </c>
      <c r="C323" s="5" t="s">
        <v>60</v>
      </c>
      <c r="D323" s="5" t="s">
        <v>839</v>
      </c>
      <c r="E323" s="2" t="s">
        <v>13</v>
      </c>
      <c r="M323" s="2" t="s">
        <v>127</v>
      </c>
      <c r="N323" s="2" t="s">
        <v>127</v>
      </c>
      <c r="O323" s="2" t="s">
        <v>127</v>
      </c>
      <c r="P323" s="2" t="s">
        <v>127</v>
      </c>
    </row>
    <row r="324" spans="1:16" x14ac:dyDescent="0.25">
      <c r="A324" s="2" t="str">
        <f>"MED"&amp;TEXT(Table25[[#This Row],[Count]],"000")&amp;"."&amp;IF(Table25[[#This Row],[Category]]="Essential","E",IF(Table25[[#This Row],[Category]]="Discretionary","D","O"))</f>
        <v>MED272.E</v>
      </c>
      <c r="B324" s="2">
        <f>MAX(Table24[Count])+ROWS(INDEX(Table25[Count],1):Table25[[#This Row],[Count]])</f>
        <v>272</v>
      </c>
      <c r="C324" s="5" t="s">
        <v>60</v>
      </c>
      <c r="D324" s="5" t="s">
        <v>840</v>
      </c>
      <c r="E324" s="2" t="s">
        <v>13</v>
      </c>
      <c r="L324" s="2" t="s">
        <v>127</v>
      </c>
    </row>
    <row r="325" spans="1:16" x14ac:dyDescent="0.25">
      <c r="A325" s="2" t="str">
        <f>"MED"&amp;TEXT(Table25[[#This Row],[Count]],"000")&amp;"."&amp;IF(Table25[[#This Row],[Category]]="Essential","E",IF(Table25[[#This Row],[Category]]="Discretionary","D","O"))</f>
        <v>MED273.E</v>
      </c>
      <c r="B325" s="2">
        <f>MAX(Table24[Count])+ROWS(INDEX(Table25[Count],1):Table25[[#This Row],[Count]])</f>
        <v>273</v>
      </c>
      <c r="C325" s="5" t="s">
        <v>60</v>
      </c>
      <c r="D325" s="5" t="s">
        <v>841</v>
      </c>
      <c r="E325" s="2" t="s">
        <v>13</v>
      </c>
      <c r="O325" s="2" t="s">
        <v>127</v>
      </c>
      <c r="P325" s="2" t="s">
        <v>127</v>
      </c>
    </row>
    <row r="326" spans="1:16" ht="45" x14ac:dyDescent="0.25">
      <c r="A326" s="2" t="str">
        <f>"MED"&amp;TEXT(Table25[[#This Row],[Count]],"000")&amp;"."&amp;IF(Table25[[#This Row],[Category]]="Essential","E",IF(Table25[[#This Row],[Category]]="Discretionary","D","O"))</f>
        <v>MED274.E</v>
      </c>
      <c r="B326" s="2">
        <f>MAX(Table24[Count])+ROWS(INDEX(Table25[Count],1):Table25[[#This Row],[Count]])</f>
        <v>274</v>
      </c>
      <c r="C326" s="5" t="s">
        <v>60</v>
      </c>
      <c r="D326" s="5" t="s">
        <v>842</v>
      </c>
      <c r="E326" s="2" t="s">
        <v>13</v>
      </c>
      <c r="F326" s="2" t="s">
        <v>127</v>
      </c>
    </row>
    <row r="327" spans="1:16" ht="30" x14ac:dyDescent="0.25">
      <c r="A327" s="2" t="str">
        <f>"MED"&amp;TEXT(Table25[[#This Row],[Count]],"000")&amp;"."&amp;IF(Table25[[#This Row],[Category]]="Essential","E",IF(Table25[[#This Row],[Category]]="Discretionary","D","O"))</f>
        <v>MED275.E</v>
      </c>
      <c r="B327" s="2">
        <f>MAX(Table24[Count])+ROWS(INDEX(Table25[Count],1):Table25[[#This Row],[Count]])</f>
        <v>275</v>
      </c>
      <c r="C327" s="5" t="s">
        <v>60</v>
      </c>
      <c r="D327" s="5" t="s">
        <v>843</v>
      </c>
      <c r="E327" s="2" t="s">
        <v>13</v>
      </c>
      <c r="M327" s="2" t="s">
        <v>127</v>
      </c>
      <c r="N327" s="2" t="s">
        <v>127</v>
      </c>
    </row>
    <row r="328" spans="1:16" x14ac:dyDescent="0.25">
      <c r="A328" s="2" t="str">
        <f>"MED"&amp;TEXT(Table25[[#This Row],[Count]],"000")&amp;"."&amp;IF(Table25[[#This Row],[Category]]="Essential","E",IF(Table25[[#This Row],[Category]]="Discretionary","D","O"))</f>
        <v>MED276.E</v>
      </c>
      <c r="B328" s="2">
        <f>MAX(Table24[Count])+ROWS(INDEX(Table25[Count],1):Table25[[#This Row],[Count]])</f>
        <v>276</v>
      </c>
      <c r="C328" s="5" t="s">
        <v>60</v>
      </c>
      <c r="D328" s="5" t="s">
        <v>844</v>
      </c>
      <c r="E328" s="2" t="s">
        <v>13</v>
      </c>
      <c r="L328" s="2" t="s">
        <v>127</v>
      </c>
      <c r="M328" s="2" t="s">
        <v>127</v>
      </c>
    </row>
    <row r="329" spans="1:16" x14ac:dyDescent="0.25">
      <c r="A329" s="2" t="str">
        <f>"MED"&amp;TEXT(Table25[[#This Row],[Count]],"000")&amp;"."&amp;IF(Table25[[#This Row],[Category]]="Essential","E",IF(Table25[[#This Row],[Category]]="Discretionary","D","O"))</f>
        <v>MED277.E</v>
      </c>
      <c r="B329" s="2">
        <f>MAX(Table24[Count])+ROWS(INDEX(Table25[Count],1):Table25[[#This Row],[Count]])</f>
        <v>277</v>
      </c>
      <c r="C329" s="5" t="s">
        <v>60</v>
      </c>
      <c r="D329" s="5" t="s">
        <v>845</v>
      </c>
      <c r="E329" s="2" t="s">
        <v>13</v>
      </c>
      <c r="N329" s="2" t="s">
        <v>127</v>
      </c>
      <c r="O329" s="2" t="s">
        <v>127</v>
      </c>
      <c r="P329" s="2" t="s">
        <v>127</v>
      </c>
    </row>
    <row r="330" spans="1:16" x14ac:dyDescent="0.25">
      <c r="A330" s="2" t="str">
        <f>"MED"&amp;TEXT(Table25[[#This Row],[Count]],"000")&amp;"."&amp;IF(Table25[[#This Row],[Category]]="Essential","E",IF(Table25[[#This Row],[Category]]="Discretionary","D","O"))</f>
        <v>MED278.E</v>
      </c>
      <c r="B330" s="2">
        <f>MAX(Table24[Count])+ROWS(INDEX(Table25[Count],1):Table25[[#This Row],[Count]])</f>
        <v>278</v>
      </c>
      <c r="C330" s="5" t="s">
        <v>60</v>
      </c>
      <c r="D330" s="5" t="s">
        <v>846</v>
      </c>
      <c r="E330" s="2" t="s">
        <v>13</v>
      </c>
      <c r="N330" s="2" t="s">
        <v>127</v>
      </c>
      <c r="O330" s="2" t="s">
        <v>127</v>
      </c>
      <c r="P330" s="2" t="s">
        <v>127</v>
      </c>
    </row>
    <row r="331" spans="1:16" x14ac:dyDescent="0.25">
      <c r="A331" s="2" t="str">
        <f>"MED"&amp;TEXT(Table25[[#This Row],[Count]],"000")&amp;"."&amp;IF(Table25[[#This Row],[Category]]="Essential","E",IF(Table25[[#This Row],[Category]]="Discretionary","D","O"))</f>
        <v>MED279.D</v>
      </c>
      <c r="B331" s="2">
        <f>MAX(Table24[Count])+ROWS(INDEX(Table25[Count],1):Table25[[#This Row],[Count]])</f>
        <v>279</v>
      </c>
      <c r="C331" s="5" t="s">
        <v>60</v>
      </c>
      <c r="D331" s="5" t="s">
        <v>847</v>
      </c>
      <c r="E331" s="2" t="s">
        <v>18</v>
      </c>
      <c r="O331" s="2" t="s">
        <v>127</v>
      </c>
      <c r="P331" s="2" t="s">
        <v>127</v>
      </c>
    </row>
    <row r="332" spans="1:16" x14ac:dyDescent="0.25">
      <c r="A332" s="2" t="str">
        <f>"MED"&amp;TEXT(Table25[[#This Row],[Count]],"000")&amp;"."&amp;IF(Table25[[#This Row],[Category]]="Essential","E",IF(Table25[[#This Row],[Category]]="Discretionary","D","O"))</f>
        <v>MED280.E</v>
      </c>
      <c r="B332" s="2">
        <f>MAX(Table24[Count])+ROWS(INDEX(Table25[Count],1):Table25[[#This Row],[Count]])</f>
        <v>280</v>
      </c>
      <c r="C332" s="5" t="s">
        <v>60</v>
      </c>
      <c r="D332" s="5" t="s">
        <v>848</v>
      </c>
      <c r="E332" s="2" t="s">
        <v>13</v>
      </c>
      <c r="N332" s="2" t="s">
        <v>127</v>
      </c>
      <c r="O332" s="2" t="s">
        <v>127</v>
      </c>
      <c r="P332" s="2" t="s">
        <v>127</v>
      </c>
    </row>
    <row r="333" spans="1:16" ht="30" x14ac:dyDescent="0.25">
      <c r="A333" s="2" t="str">
        <f>"MED"&amp;TEXT(Table25[[#This Row],[Count]],"000")&amp;"."&amp;IF(Table25[[#This Row],[Category]]="Essential","E",IF(Table25[[#This Row],[Category]]="Discretionary","D","O"))</f>
        <v>MED281.E</v>
      </c>
      <c r="B333" s="2">
        <f>MAX(Table24[Count])+ROWS(INDEX(Table25[Count],1):Table25[[#This Row],[Count]])</f>
        <v>281</v>
      </c>
      <c r="C333" s="5" t="s">
        <v>60</v>
      </c>
      <c r="D333" s="5" t="s">
        <v>849</v>
      </c>
      <c r="E333" s="2" t="s">
        <v>13</v>
      </c>
      <c r="N333" s="2" t="s">
        <v>127</v>
      </c>
      <c r="O333" s="2" t="s">
        <v>127</v>
      </c>
      <c r="P333" s="2" t="s">
        <v>127</v>
      </c>
    </row>
    <row r="334" spans="1:16" x14ac:dyDescent="0.25">
      <c r="A334" s="2" t="str">
        <f>"MED"&amp;TEXT(Table25[[#This Row],[Count]],"000")&amp;"."&amp;IF(Table25[[#This Row],[Category]]="Essential","E",IF(Table25[[#This Row],[Category]]="Discretionary","D","O"))</f>
        <v>MED282.D</v>
      </c>
      <c r="B334" s="2">
        <f>MAX(Table24[Count])+ROWS(INDEX(Table25[Count],1):Table25[[#This Row],[Count]])</f>
        <v>282</v>
      </c>
      <c r="C334" s="5" t="s">
        <v>60</v>
      </c>
      <c r="D334" s="5" t="s">
        <v>850</v>
      </c>
      <c r="E334" s="2" t="s">
        <v>18</v>
      </c>
      <c r="O334" s="2" t="s">
        <v>127</v>
      </c>
      <c r="P334" s="2" t="s">
        <v>127</v>
      </c>
    </row>
    <row r="335" spans="1:16" x14ac:dyDescent="0.25">
      <c r="A335" s="2" t="str">
        <f>"MED"&amp;TEXT(Table25[[#This Row],[Count]],"000")&amp;"."&amp;IF(Table25[[#This Row],[Category]]="Essential","E",IF(Table25[[#This Row],[Category]]="Discretionary","D","O"))</f>
        <v>MED283.E</v>
      </c>
      <c r="B335" s="2">
        <f>MAX(Table24[Count])+ROWS(INDEX(Table25[Count],1):Table25[[#This Row],[Count]])</f>
        <v>283</v>
      </c>
      <c r="C335" s="5" t="s">
        <v>60</v>
      </c>
      <c r="D335" s="5" t="s">
        <v>851</v>
      </c>
      <c r="E335" s="2" t="s">
        <v>13</v>
      </c>
      <c r="L335" s="2" t="s">
        <v>127</v>
      </c>
      <c r="M335" s="2" t="s">
        <v>127</v>
      </c>
      <c r="N335" s="2" t="s">
        <v>127</v>
      </c>
      <c r="O335" s="2" t="s">
        <v>127</v>
      </c>
      <c r="P335" s="2" t="s">
        <v>127</v>
      </c>
    </row>
    <row r="336" spans="1:16" x14ac:dyDescent="0.25">
      <c r="A336" s="2" t="str">
        <f>"MED"&amp;TEXT(Table25[[#This Row],[Count]],"000")&amp;"."&amp;IF(Table25[[#This Row],[Category]]="Essential","E",IF(Table25[[#This Row],[Category]]="Discretionary","D","O"))</f>
        <v>MED284.D</v>
      </c>
      <c r="B336" s="2">
        <f>MAX(Table24[Count])+ROWS(INDEX(Table25[Count],1):Table25[[#This Row],[Count]])</f>
        <v>284</v>
      </c>
      <c r="C336" s="5" t="s">
        <v>60</v>
      </c>
      <c r="D336" s="5" t="s">
        <v>852</v>
      </c>
      <c r="E336" s="2" t="s">
        <v>18</v>
      </c>
      <c r="L336" s="2" t="s">
        <v>127</v>
      </c>
      <c r="M336" s="2" t="s">
        <v>127</v>
      </c>
      <c r="N336" s="2" t="s">
        <v>127</v>
      </c>
      <c r="O336" s="2" t="s">
        <v>127</v>
      </c>
      <c r="P336" s="2" t="s">
        <v>127</v>
      </c>
    </row>
    <row r="337" spans="1:18" ht="30" x14ac:dyDescent="0.25">
      <c r="A337" s="2" t="str">
        <f>"MED"&amp;TEXT(Table25[[#This Row],[Count]],"000")&amp;"."&amp;IF(Table25[[#This Row],[Category]]="Essential","E",IF(Table25[[#This Row],[Category]]="Discretionary","D","O"))</f>
        <v>MED285.E</v>
      </c>
      <c r="B337" s="2">
        <f>MAX(Table24[Count])+ROWS(INDEX(Table25[Count],1):Table25[[#This Row],[Count]])</f>
        <v>285</v>
      </c>
      <c r="C337" s="5" t="s">
        <v>60</v>
      </c>
      <c r="D337" s="5" t="s">
        <v>853</v>
      </c>
      <c r="E337" s="2" t="s">
        <v>13</v>
      </c>
      <c r="L337" s="2" t="s">
        <v>127</v>
      </c>
      <c r="M337" s="2" t="s">
        <v>127</v>
      </c>
      <c r="N337" s="2" t="s">
        <v>127</v>
      </c>
      <c r="O337" s="2" t="s">
        <v>127</v>
      </c>
      <c r="P337" s="2" t="s">
        <v>127</v>
      </c>
    </row>
    <row r="339" spans="1:18" x14ac:dyDescent="0.25">
      <c r="A339" s="58" t="s">
        <v>62</v>
      </c>
      <c r="B339" s="58"/>
      <c r="C339" s="58"/>
      <c r="D339" s="58"/>
      <c r="E339" s="58"/>
      <c r="F339" s="58"/>
      <c r="G339" s="58"/>
      <c r="H339" s="58"/>
      <c r="I339" s="58"/>
      <c r="J339" s="58"/>
      <c r="K339" s="58"/>
      <c r="L339" s="58"/>
      <c r="M339" s="58"/>
      <c r="N339" s="58"/>
      <c r="O339" s="58"/>
      <c r="P339" s="58"/>
      <c r="Q339" s="58"/>
      <c r="R339" s="58"/>
    </row>
    <row r="341" spans="1:18" x14ac:dyDescent="0.25">
      <c r="A341" s="6" t="s">
        <v>120</v>
      </c>
      <c r="B341" s="6" t="s">
        <v>121</v>
      </c>
      <c r="C341" s="7" t="s">
        <v>122</v>
      </c>
      <c r="D341" s="7" t="s">
        <v>123</v>
      </c>
      <c r="E341" s="6" t="s">
        <v>8</v>
      </c>
      <c r="F341" s="6" t="s">
        <v>124</v>
      </c>
      <c r="G341" s="6" t="s">
        <v>154</v>
      </c>
      <c r="H341" s="6" t="s">
        <v>155</v>
      </c>
      <c r="I341" s="6" t="s">
        <v>156</v>
      </c>
      <c r="J341" s="6" t="s">
        <v>157</v>
      </c>
      <c r="K341" s="6" t="s">
        <v>158</v>
      </c>
      <c r="L341" s="6" t="s">
        <v>159</v>
      </c>
      <c r="M341" s="6" t="s">
        <v>160</v>
      </c>
      <c r="N341" s="6" t="s">
        <v>161</v>
      </c>
      <c r="O341" s="6" t="s">
        <v>162</v>
      </c>
      <c r="P341" s="6" t="s">
        <v>163</v>
      </c>
      <c r="Q341" s="7" t="s">
        <v>164</v>
      </c>
      <c r="R341" s="7" t="s">
        <v>125</v>
      </c>
    </row>
    <row r="342" spans="1:18" ht="30" x14ac:dyDescent="0.25">
      <c r="A342" s="2" t="str">
        <f>"MED"&amp;TEXT(Table26[[#This Row],[Count]],"000")&amp;"."&amp;IF(Table26[[#This Row],[Category]]="Essential","E",IF(Table26[[#This Row],[Category]]="Discretionary","D","O"))</f>
        <v>MED286.E</v>
      </c>
      <c r="B342" s="2">
        <f>MAX(Table25[Count])+ROWS(INDEX(Table26[Count],1):Table26[[#This Row],[Count]])</f>
        <v>286</v>
      </c>
      <c r="C342" s="5" t="s">
        <v>62</v>
      </c>
      <c r="D342" s="5" t="s">
        <v>854</v>
      </c>
      <c r="E342" s="2" t="s">
        <v>13</v>
      </c>
      <c r="F342" s="2" t="s">
        <v>127</v>
      </c>
    </row>
    <row r="343" spans="1:18" ht="30" x14ac:dyDescent="0.25">
      <c r="A343" s="2" t="str">
        <f>"MED"&amp;TEXT(Table26[[#This Row],[Count]],"000")&amp;"."&amp;IF(Table26[[#This Row],[Category]]="Essential","E",IF(Table26[[#This Row],[Category]]="Discretionary","D","O"))</f>
        <v>MED287.E</v>
      </c>
      <c r="B343" s="2">
        <f>MAX(Table25[Count])+ROWS(INDEX(Table26[Count],1):Table26[[#This Row],[Count]])</f>
        <v>287</v>
      </c>
      <c r="C343" s="5" t="s">
        <v>62</v>
      </c>
      <c r="D343" s="5" t="s">
        <v>855</v>
      </c>
      <c r="E343" s="2" t="s">
        <v>13</v>
      </c>
      <c r="F343" s="2" t="s">
        <v>127</v>
      </c>
      <c r="R343" s="5" t="s">
        <v>548</v>
      </c>
    </row>
    <row r="344" spans="1:18" ht="30" x14ac:dyDescent="0.25">
      <c r="A344" s="2" t="str">
        <f>"MED"&amp;TEXT(Table26[[#This Row],[Count]],"000")&amp;"."&amp;IF(Table26[[#This Row],[Category]]="Essential","E",IF(Table26[[#This Row],[Category]]="Discretionary","D","O"))</f>
        <v>MED288.E</v>
      </c>
      <c r="B344" s="2">
        <f>MAX(Table25[Count])+ROWS(INDEX(Table26[Count],1):Table26[[#This Row],[Count]])</f>
        <v>288</v>
      </c>
      <c r="C344" s="5" t="s">
        <v>62</v>
      </c>
      <c r="D344" s="5" t="s">
        <v>549</v>
      </c>
      <c r="E344" s="2" t="s">
        <v>13</v>
      </c>
      <c r="F344" s="2" t="s">
        <v>127</v>
      </c>
    </row>
    <row r="345" spans="1:18" ht="30" x14ac:dyDescent="0.25">
      <c r="A345" s="2" t="str">
        <f>"MED"&amp;TEXT(Table26[[#This Row],[Count]],"000")&amp;"."&amp;IF(Table26[[#This Row],[Category]]="Essential","E",IF(Table26[[#This Row],[Category]]="Discretionary","D","O"))</f>
        <v>MED289.E</v>
      </c>
      <c r="B345" s="2">
        <f>MAX(Table25[Count])+ROWS(INDEX(Table26[Count],1):Table26[[#This Row],[Count]])</f>
        <v>289</v>
      </c>
      <c r="C345" s="5" t="s">
        <v>62</v>
      </c>
      <c r="D345" s="5" t="s">
        <v>550</v>
      </c>
      <c r="E345" s="2" t="s">
        <v>13</v>
      </c>
      <c r="F345" s="2" t="s">
        <v>127</v>
      </c>
    </row>
    <row r="346" spans="1:18" ht="30" x14ac:dyDescent="0.25">
      <c r="A346" s="2" t="str">
        <f>"MED"&amp;TEXT(Table26[[#This Row],[Count]],"000")&amp;"."&amp;IF(Table26[[#This Row],[Category]]="Essential","E",IF(Table26[[#This Row],[Category]]="Discretionary","D","O"))</f>
        <v>MED290.E</v>
      </c>
      <c r="B346" s="2">
        <f>MAX(Table25[Count])+ROWS(INDEX(Table26[Count],1):Table26[[#This Row],[Count]])</f>
        <v>290</v>
      </c>
      <c r="C346" s="5" t="s">
        <v>62</v>
      </c>
      <c r="D346" s="5" t="s">
        <v>551</v>
      </c>
      <c r="E346" s="2" t="s">
        <v>13</v>
      </c>
      <c r="F346" s="2" t="s">
        <v>127</v>
      </c>
    </row>
    <row r="347" spans="1:18" ht="30" x14ac:dyDescent="0.25">
      <c r="A347" s="2" t="str">
        <f>"MED"&amp;TEXT(Table26[[#This Row],[Count]],"000")&amp;"."&amp;IF(Table26[[#This Row],[Category]]="Essential","E",IF(Table26[[#This Row],[Category]]="Discretionary","D","O"))</f>
        <v>MED291.E</v>
      </c>
      <c r="B347" s="2">
        <f>MAX(Table25[Count])+ROWS(INDEX(Table26[Count],1):Table26[[#This Row],[Count]])</f>
        <v>291</v>
      </c>
      <c r="C347" s="5" t="s">
        <v>62</v>
      </c>
      <c r="D347" s="5" t="s">
        <v>552</v>
      </c>
      <c r="E347" s="2" t="s">
        <v>13</v>
      </c>
      <c r="F347" s="2" t="s">
        <v>127</v>
      </c>
    </row>
    <row r="348" spans="1:18" ht="30" x14ac:dyDescent="0.25">
      <c r="A348" s="2" t="str">
        <f>"MED"&amp;TEXT(Table26[[#This Row],[Count]],"000")&amp;"."&amp;IF(Table26[[#This Row],[Category]]="Essential","E",IF(Table26[[#This Row],[Category]]="Discretionary","D","O"))</f>
        <v>MED292.E</v>
      </c>
      <c r="B348" s="2">
        <f>MAX(Table25[Count])+ROWS(INDEX(Table26[Count],1):Table26[[#This Row],[Count]])</f>
        <v>292</v>
      </c>
      <c r="C348" s="5" t="s">
        <v>62</v>
      </c>
      <c r="D348" s="5" t="s">
        <v>553</v>
      </c>
      <c r="E348" s="2" t="s">
        <v>13</v>
      </c>
      <c r="F348" s="2" t="s">
        <v>127</v>
      </c>
    </row>
    <row r="349" spans="1:18" ht="30" x14ac:dyDescent="0.25">
      <c r="A349" s="2" t="str">
        <f>"MED"&amp;TEXT(Table26[[#This Row],[Count]],"000")&amp;"."&amp;IF(Table26[[#This Row],[Category]]="Essential","E",IF(Table26[[#This Row],[Category]]="Discretionary","D","O"))</f>
        <v>MED293.E</v>
      </c>
      <c r="B349" s="2">
        <f>MAX(Table25[Count])+ROWS(INDEX(Table26[Count],1):Table26[[#This Row],[Count]])</f>
        <v>293</v>
      </c>
      <c r="C349" s="5" t="s">
        <v>62</v>
      </c>
      <c r="D349" s="5" t="s">
        <v>856</v>
      </c>
      <c r="E349" s="2" t="s">
        <v>13</v>
      </c>
      <c r="F349" s="2" t="s">
        <v>127</v>
      </c>
      <c r="R349" s="5" t="s">
        <v>557</v>
      </c>
    </row>
    <row r="350" spans="1:18" ht="30" x14ac:dyDescent="0.25">
      <c r="A350" s="2" t="str">
        <f>"MED"&amp;TEXT(Table26[[#This Row],[Count]],"000")&amp;"."&amp;IF(Table26[[#This Row],[Category]]="Essential","E",IF(Table26[[#This Row],[Category]]="Discretionary","D","O"))</f>
        <v>MED294.E</v>
      </c>
      <c r="B350" s="2">
        <f>MAX(Table25[Count])+ROWS(INDEX(Table26[Count],1):Table26[[#This Row],[Count]])</f>
        <v>294</v>
      </c>
      <c r="C350" s="5" t="s">
        <v>62</v>
      </c>
      <c r="D350" s="5" t="s">
        <v>857</v>
      </c>
      <c r="E350" s="2" t="s">
        <v>13</v>
      </c>
      <c r="F350" s="2" t="s">
        <v>127</v>
      </c>
    </row>
    <row r="351" spans="1:18" ht="60" x14ac:dyDescent="0.25">
      <c r="A351" s="2" t="str">
        <f>"MED"&amp;TEXT(Table26[[#This Row],[Count]],"000")&amp;"."&amp;IF(Table26[[#This Row],[Category]]="Essential","E",IF(Table26[[#This Row],[Category]]="Discretionary","D","O"))</f>
        <v>MED295.E</v>
      </c>
      <c r="B351" s="2">
        <f>MAX(Table25[Count])+ROWS(INDEX(Table26[Count],1):Table26[[#This Row],[Count]])</f>
        <v>295</v>
      </c>
      <c r="C351" s="5" t="s">
        <v>62</v>
      </c>
      <c r="D351" s="5" t="s">
        <v>858</v>
      </c>
      <c r="E351" s="2" t="s">
        <v>13</v>
      </c>
      <c r="N351" s="2" t="s">
        <v>127</v>
      </c>
      <c r="R351" s="5" t="s">
        <v>859</v>
      </c>
    </row>
    <row r="352" spans="1:18" ht="30" x14ac:dyDescent="0.25">
      <c r="A352" s="2" t="str">
        <f>"MED"&amp;TEXT(Table26[[#This Row],[Count]],"000")&amp;"."&amp;IF(Table26[[#This Row],[Category]]="Essential","E",IF(Table26[[#This Row],[Category]]="Discretionary","D","O"))</f>
        <v>MED296.E</v>
      </c>
      <c r="B352" s="2">
        <f>MAX(Table25[Count])+ROWS(INDEX(Table26[Count],1):Table26[[#This Row],[Count]])</f>
        <v>296</v>
      </c>
      <c r="C352" s="5" t="s">
        <v>62</v>
      </c>
      <c r="D352" s="5" t="s">
        <v>860</v>
      </c>
      <c r="E352" s="2" t="s">
        <v>13</v>
      </c>
      <c r="F352" s="2" t="s">
        <v>127</v>
      </c>
    </row>
    <row r="353" spans="1:18" ht="30" x14ac:dyDescent="0.25">
      <c r="A353" s="2" t="str">
        <f>"MED"&amp;TEXT(Table26[[#This Row],[Count]],"000")&amp;"."&amp;IF(Table26[[#This Row],[Category]]="Essential","E",IF(Table26[[#This Row],[Category]]="Discretionary","D","O"))</f>
        <v>MED297.E</v>
      </c>
      <c r="B353" s="2">
        <f>MAX(Table25[Count])+ROWS(INDEX(Table26[Count],1):Table26[[#This Row],[Count]])</f>
        <v>297</v>
      </c>
      <c r="C353" s="5" t="s">
        <v>62</v>
      </c>
      <c r="D353" s="5" t="s">
        <v>861</v>
      </c>
      <c r="E353" s="2" t="s">
        <v>13</v>
      </c>
      <c r="F353" s="2" t="s">
        <v>127</v>
      </c>
    </row>
    <row r="354" spans="1:18" ht="30" x14ac:dyDescent="0.25">
      <c r="A354" s="2" t="str">
        <f>"MED"&amp;TEXT(Table26[[#This Row],[Count]],"000")&amp;"."&amp;IF(Table26[[#This Row],[Category]]="Essential","E",IF(Table26[[#This Row],[Category]]="Discretionary","D","O"))</f>
        <v>MED298.E</v>
      </c>
      <c r="B354" s="2">
        <f>MAX(Table25[Count])+ROWS(INDEX(Table26[Count],1):Table26[[#This Row],[Count]])</f>
        <v>298</v>
      </c>
      <c r="C354" s="5" t="s">
        <v>62</v>
      </c>
      <c r="D354" s="5" t="s">
        <v>862</v>
      </c>
      <c r="E354" s="2" t="s">
        <v>13</v>
      </c>
      <c r="F354" s="2" t="s">
        <v>127</v>
      </c>
    </row>
    <row r="355" spans="1:18" ht="30" x14ac:dyDescent="0.25">
      <c r="A355" s="2" t="str">
        <f>"MED"&amp;TEXT(Table26[[#This Row],[Count]],"000")&amp;"."&amp;IF(Table26[[#This Row],[Category]]="Essential","E",IF(Table26[[#This Row],[Category]]="Discretionary","D","O"))</f>
        <v>MED299.E</v>
      </c>
      <c r="B355" s="2">
        <f>MAX(Table25[Count])+ROWS(INDEX(Table26[Count],1):Table26[[#This Row],[Count]])</f>
        <v>299</v>
      </c>
      <c r="C355" s="5" t="s">
        <v>62</v>
      </c>
      <c r="D355" s="5" t="s">
        <v>863</v>
      </c>
      <c r="E355" s="2" t="s">
        <v>13</v>
      </c>
      <c r="F355" s="2" t="s">
        <v>127</v>
      </c>
      <c r="R355" s="5" t="s">
        <v>864</v>
      </c>
    </row>
    <row r="357" spans="1:18" x14ac:dyDescent="0.25">
      <c r="A357" s="58" t="s">
        <v>65</v>
      </c>
      <c r="B357" s="58"/>
      <c r="C357" s="58"/>
      <c r="D357" s="58"/>
      <c r="E357" s="58"/>
      <c r="F357" s="58"/>
      <c r="G357" s="58"/>
      <c r="H357" s="58"/>
      <c r="I357" s="58"/>
      <c r="J357" s="58"/>
      <c r="K357" s="58"/>
      <c r="L357" s="58"/>
      <c r="M357" s="58"/>
      <c r="N357" s="58"/>
      <c r="O357" s="58"/>
      <c r="P357" s="58"/>
      <c r="Q357" s="58"/>
      <c r="R357" s="58"/>
    </row>
    <row r="359" spans="1:18" x14ac:dyDescent="0.25">
      <c r="A359" s="6" t="s">
        <v>120</v>
      </c>
      <c r="B359" s="6" t="s">
        <v>121</v>
      </c>
      <c r="C359" s="7" t="s">
        <v>122</v>
      </c>
      <c r="D359" s="7" t="s">
        <v>123</v>
      </c>
      <c r="E359" s="6" t="s">
        <v>8</v>
      </c>
      <c r="F359" s="6" t="s">
        <v>124</v>
      </c>
      <c r="G359" s="6" t="s">
        <v>154</v>
      </c>
      <c r="H359" s="6" t="s">
        <v>155</v>
      </c>
      <c r="I359" s="6" t="s">
        <v>156</v>
      </c>
      <c r="J359" s="6" t="s">
        <v>157</v>
      </c>
      <c r="K359" s="6" t="s">
        <v>158</v>
      </c>
      <c r="L359" s="6" t="s">
        <v>159</v>
      </c>
      <c r="M359" s="6" t="s">
        <v>160</v>
      </c>
      <c r="N359" s="6" t="s">
        <v>161</v>
      </c>
      <c r="O359" s="6" t="s">
        <v>162</v>
      </c>
      <c r="P359" s="6" t="s">
        <v>163</v>
      </c>
      <c r="Q359" s="7" t="s">
        <v>164</v>
      </c>
      <c r="R359" s="7" t="s">
        <v>125</v>
      </c>
    </row>
    <row r="360" spans="1:18" x14ac:dyDescent="0.25">
      <c r="A360" s="2" t="str">
        <f>"MED"&amp;TEXT(Table27[[#This Row],[Count]],"000")&amp;"."&amp;IF(Table27[[#This Row],[Category]]="Essential","E",IF(Table27[[#This Row],[Category]]="Discretionary","D","O"))</f>
        <v>MED300.E</v>
      </c>
      <c r="B360" s="2">
        <f>MAX(Table26[Count])+ROWS(INDEX(Table27[Count],1):Table27[[#This Row],[Count]])</f>
        <v>300</v>
      </c>
      <c r="C360" s="5" t="s">
        <v>65</v>
      </c>
      <c r="D360" s="5" t="s">
        <v>865</v>
      </c>
      <c r="E360" s="2" t="s">
        <v>13</v>
      </c>
      <c r="F360" s="2" t="s">
        <v>127</v>
      </c>
    </row>
    <row r="362" spans="1:18" x14ac:dyDescent="0.25">
      <c r="A362" s="58" t="s">
        <v>102</v>
      </c>
      <c r="B362" s="58"/>
      <c r="C362" s="58"/>
      <c r="D362" s="58"/>
      <c r="E362" s="58"/>
      <c r="F362" s="58"/>
      <c r="G362" s="58"/>
      <c r="H362" s="58"/>
      <c r="I362" s="58"/>
      <c r="J362" s="58"/>
      <c r="K362" s="58"/>
      <c r="L362" s="58"/>
      <c r="M362" s="58"/>
      <c r="N362" s="58"/>
      <c r="O362" s="58"/>
      <c r="P362" s="58"/>
      <c r="Q362" s="58"/>
      <c r="R362" s="58"/>
    </row>
    <row r="364" spans="1:18" x14ac:dyDescent="0.25">
      <c r="A364" s="6" t="s">
        <v>120</v>
      </c>
      <c r="B364" s="6" t="s">
        <v>121</v>
      </c>
      <c r="C364" s="7" t="s">
        <v>122</v>
      </c>
      <c r="D364" s="7" t="s">
        <v>123</v>
      </c>
      <c r="E364" s="6" t="s">
        <v>8</v>
      </c>
      <c r="F364" s="6" t="s">
        <v>124</v>
      </c>
      <c r="G364" s="6" t="s">
        <v>154</v>
      </c>
      <c r="H364" s="6" t="s">
        <v>155</v>
      </c>
      <c r="I364" s="6" t="s">
        <v>156</v>
      </c>
      <c r="J364" s="6" t="s">
        <v>157</v>
      </c>
      <c r="K364" s="6" t="s">
        <v>158</v>
      </c>
      <c r="L364" s="6" t="s">
        <v>159</v>
      </c>
      <c r="M364" s="6" t="s">
        <v>160</v>
      </c>
      <c r="N364" s="6" t="s">
        <v>161</v>
      </c>
      <c r="O364" s="6" t="s">
        <v>162</v>
      </c>
      <c r="P364" s="6" t="s">
        <v>163</v>
      </c>
      <c r="Q364" s="7" t="s">
        <v>164</v>
      </c>
      <c r="R364" s="7" t="s">
        <v>125</v>
      </c>
    </row>
    <row r="365" spans="1:18" x14ac:dyDescent="0.25">
      <c r="A365" s="2" t="str">
        <f>"MED"&amp;TEXT(Table28[[#This Row],[Count]],"000")&amp;"."&amp;IF(Table28[[#This Row],[Category]]="Essential","E",IF(Table28[[#This Row],[Category]]="Discretionary","D","O"))</f>
        <v>MED301.D</v>
      </c>
      <c r="B365" s="2">
        <f>MAX(Table27[Count])+ROWS(INDEX(Table28[Count],1):Table28[[#This Row],[Count]])</f>
        <v>301</v>
      </c>
      <c r="C365" s="5" t="s">
        <v>102</v>
      </c>
      <c r="D365" s="5" t="s">
        <v>854</v>
      </c>
      <c r="E365" s="2" t="s">
        <v>18</v>
      </c>
    </row>
    <row r="366" spans="1:18" ht="30" x14ac:dyDescent="0.25">
      <c r="A366" s="2" t="str">
        <f>"MED"&amp;TEXT(Table28[[#This Row],[Count]],"000")&amp;"."&amp;IF(Table28[[#This Row],[Category]]="Essential","E",IF(Table28[[#This Row],[Category]]="Discretionary","D","O"))</f>
        <v>MED302.D</v>
      </c>
      <c r="B366" s="2">
        <f>MAX(Table27[Count])+ROWS(INDEX(Table28[Count],1):Table28[[#This Row],[Count]])</f>
        <v>302</v>
      </c>
      <c r="C366" s="5" t="s">
        <v>102</v>
      </c>
      <c r="D366" s="5" t="s">
        <v>866</v>
      </c>
      <c r="E366" s="2" t="s">
        <v>18</v>
      </c>
    </row>
    <row r="367" spans="1:18" x14ac:dyDescent="0.25">
      <c r="A367" s="2" t="str">
        <f>"MED"&amp;TEXT(Table28[[#This Row],[Count]],"000")&amp;"."&amp;IF(Table28[[#This Row],[Category]]="Essential","E",IF(Table28[[#This Row],[Category]]="Discretionary","D","O"))</f>
        <v>MED303.D</v>
      </c>
      <c r="B367" s="2">
        <f>MAX(Table27[Count])+ROWS(INDEX(Table28[Count],1):Table28[[#This Row],[Count]])</f>
        <v>303</v>
      </c>
      <c r="C367" s="5" t="s">
        <v>102</v>
      </c>
      <c r="D367" s="5" t="s">
        <v>856</v>
      </c>
      <c r="E367" s="2" t="s">
        <v>18</v>
      </c>
    </row>
    <row r="368" spans="1:18" x14ac:dyDescent="0.25">
      <c r="A368" s="2" t="str">
        <f>"MED"&amp;TEXT(Table28[[#This Row],[Count]],"000")&amp;"."&amp;IF(Table28[[#This Row],[Category]]="Essential","E",IF(Table28[[#This Row],[Category]]="Discretionary","D","O"))</f>
        <v>MED304.D</v>
      </c>
      <c r="B368" s="2">
        <f>MAX(Table27[Count])+ROWS(INDEX(Table28[Count],1):Table28[[#This Row],[Count]])</f>
        <v>304</v>
      </c>
      <c r="C368" s="5" t="s">
        <v>102</v>
      </c>
      <c r="D368" s="5" t="s">
        <v>863</v>
      </c>
      <c r="E368" s="2" t="s">
        <v>18</v>
      </c>
    </row>
    <row r="369" spans="1:18" x14ac:dyDescent="0.25">
      <c r="A369" s="2" t="str">
        <f>"MED"&amp;TEXT(Table28[[#This Row],[Count]],"000")&amp;"."&amp;IF(Table28[[#This Row],[Category]]="Essential","E",IF(Table28[[#This Row],[Category]]="Discretionary","D","O"))</f>
        <v>MED305.D</v>
      </c>
      <c r="B369" s="2">
        <f>MAX(Table27[Count])+ROWS(INDEX(Table28[Count],1):Table28[[#This Row],[Count]])</f>
        <v>305</v>
      </c>
      <c r="C369" s="5" t="s">
        <v>102</v>
      </c>
      <c r="D369" s="5" t="s">
        <v>867</v>
      </c>
      <c r="E369" s="2" t="s">
        <v>18</v>
      </c>
    </row>
    <row r="371" spans="1:18" x14ac:dyDescent="0.25">
      <c r="A371" s="58" t="s">
        <v>68</v>
      </c>
      <c r="B371" s="58"/>
      <c r="C371" s="58"/>
      <c r="D371" s="58"/>
      <c r="E371" s="58"/>
      <c r="F371" s="58"/>
      <c r="G371" s="58"/>
      <c r="H371" s="58"/>
      <c r="I371" s="58"/>
      <c r="J371" s="58"/>
      <c r="K371" s="58"/>
      <c r="L371" s="58"/>
      <c r="M371" s="58"/>
      <c r="N371" s="58"/>
      <c r="O371" s="58"/>
      <c r="P371" s="58"/>
      <c r="Q371" s="58"/>
      <c r="R371" s="58"/>
    </row>
    <row r="373" spans="1:18" x14ac:dyDescent="0.25">
      <c r="A373" s="6" t="s">
        <v>120</v>
      </c>
      <c r="B373" s="6" t="s">
        <v>121</v>
      </c>
      <c r="C373" s="7" t="s">
        <v>122</v>
      </c>
      <c r="D373" s="7" t="s">
        <v>123</v>
      </c>
      <c r="E373" s="6" t="s">
        <v>8</v>
      </c>
      <c r="F373" s="6" t="s">
        <v>124</v>
      </c>
      <c r="G373" s="6" t="s">
        <v>154</v>
      </c>
      <c r="H373" s="6" t="s">
        <v>155</v>
      </c>
      <c r="I373" s="6" t="s">
        <v>156</v>
      </c>
      <c r="J373" s="6" t="s">
        <v>157</v>
      </c>
      <c r="K373" s="6" t="s">
        <v>158</v>
      </c>
      <c r="L373" s="6" t="s">
        <v>159</v>
      </c>
      <c r="M373" s="6" t="s">
        <v>160</v>
      </c>
      <c r="N373" s="6" t="s">
        <v>161</v>
      </c>
      <c r="O373" s="6" t="s">
        <v>162</v>
      </c>
      <c r="P373" s="6" t="s">
        <v>163</v>
      </c>
      <c r="Q373" s="7" t="s">
        <v>164</v>
      </c>
      <c r="R373" s="7" t="s">
        <v>125</v>
      </c>
    </row>
    <row r="374" spans="1:18" x14ac:dyDescent="0.25">
      <c r="A374" s="2" t="str">
        <f>"MED"&amp;TEXT(Table29[[#This Row],[Count]],"000")&amp;"."&amp;IF(Table29[[#This Row],[Category]]="Essential","E",IF(Table29[[#This Row],[Category]]="Discretionary","D","O"))</f>
        <v>MED306.E</v>
      </c>
      <c r="B374" s="2">
        <f>MAX(Table28[Count])+ROWS(INDEX(Table29[Count],1):Table29[[#This Row],[Count]])</f>
        <v>306</v>
      </c>
      <c r="C374" s="5" t="s">
        <v>68</v>
      </c>
      <c r="D374" s="5" t="s">
        <v>868</v>
      </c>
      <c r="E374" s="2" t="s">
        <v>13</v>
      </c>
      <c r="L374" s="2" t="s">
        <v>127</v>
      </c>
      <c r="M374" s="2" t="s">
        <v>127</v>
      </c>
      <c r="N374" s="2" t="s">
        <v>127</v>
      </c>
      <c r="O374" s="2" t="s">
        <v>127</v>
      </c>
      <c r="P374" s="2" t="s">
        <v>127</v>
      </c>
      <c r="R374" s="5" t="s">
        <v>869</v>
      </c>
    </row>
    <row r="375" spans="1:18" x14ac:dyDescent="0.25">
      <c r="A375" s="2" t="str">
        <f>"MED"&amp;TEXT(Table29[[#This Row],[Count]],"000")&amp;"."&amp;IF(Table29[[#This Row],[Category]]="Essential","E",IF(Table29[[#This Row],[Category]]="Discretionary","D","O"))</f>
        <v>MED307.E</v>
      </c>
      <c r="B375" s="2">
        <f>MAX(Table28[Count])+ROWS(INDEX(Table29[Count],1):Table29[[#This Row],[Count]])</f>
        <v>307</v>
      </c>
      <c r="C375" s="5" t="s">
        <v>68</v>
      </c>
      <c r="D375" s="5" t="s">
        <v>870</v>
      </c>
      <c r="E375" s="2" t="s">
        <v>13</v>
      </c>
      <c r="F375" s="2" t="s">
        <v>127</v>
      </c>
    </row>
    <row r="376" spans="1:18" x14ac:dyDescent="0.25">
      <c r="A376" s="2" t="str">
        <f>"MED"&amp;TEXT(Table29[[#This Row],[Count]],"000")&amp;"."&amp;IF(Table29[[#This Row],[Category]]="Essential","E",IF(Table29[[#This Row],[Category]]="Discretionary","D","O"))</f>
        <v>MED308.E</v>
      </c>
      <c r="B376" s="2">
        <f>MAX(Table28[Count])+ROWS(INDEX(Table29[Count],1):Table29[[#This Row],[Count]])</f>
        <v>308</v>
      </c>
      <c r="C376" s="5" t="s">
        <v>68</v>
      </c>
      <c r="D376" s="5" t="s">
        <v>871</v>
      </c>
      <c r="E376" s="2" t="s">
        <v>13</v>
      </c>
      <c r="F376" s="2" t="s">
        <v>127</v>
      </c>
    </row>
    <row r="377" spans="1:18" x14ac:dyDescent="0.25">
      <c r="A377" s="2" t="str">
        <f>"MED"&amp;TEXT(Table29[[#This Row],[Count]],"000")&amp;"."&amp;IF(Table29[[#This Row],[Category]]="Essential","E",IF(Table29[[#This Row],[Category]]="Discretionary","D","O"))</f>
        <v>MED309.E</v>
      </c>
      <c r="B377" s="2">
        <f>MAX(Table28[Count])+ROWS(INDEX(Table29[Count],1):Table29[[#This Row],[Count]])</f>
        <v>309</v>
      </c>
      <c r="C377" s="5" t="s">
        <v>68</v>
      </c>
      <c r="D377" s="5" t="s">
        <v>872</v>
      </c>
      <c r="E377" s="2" t="s">
        <v>13</v>
      </c>
      <c r="F377" s="2" t="s">
        <v>127</v>
      </c>
    </row>
    <row r="378" spans="1:18" ht="30" x14ac:dyDescent="0.25">
      <c r="A378" s="2" t="str">
        <f>"MED"&amp;TEXT(Table29[[#This Row],[Count]],"000")&amp;"."&amp;IF(Table29[[#This Row],[Category]]="Essential","E",IF(Table29[[#This Row],[Category]]="Discretionary","D","O"))</f>
        <v>MED310.E</v>
      </c>
      <c r="B378" s="2">
        <f>MAX(Table28[Count])+ROWS(INDEX(Table29[Count],1):Table29[[#This Row],[Count]])</f>
        <v>310</v>
      </c>
      <c r="C378" s="5" t="s">
        <v>68</v>
      </c>
      <c r="D378" s="5" t="s">
        <v>873</v>
      </c>
      <c r="E378" s="2" t="s">
        <v>13</v>
      </c>
      <c r="F378" s="2" t="s">
        <v>127</v>
      </c>
    </row>
    <row r="379" spans="1:18" x14ac:dyDescent="0.25">
      <c r="A379" s="2" t="str">
        <f>"MED"&amp;TEXT(Table29[[#This Row],[Count]],"000")&amp;"."&amp;IF(Table29[[#This Row],[Category]]="Essential","E",IF(Table29[[#This Row],[Category]]="Discretionary","D","O"))</f>
        <v>MED311.E</v>
      </c>
      <c r="B379" s="2">
        <f>MAX(Table28[Count])+ROWS(INDEX(Table29[Count],1):Table29[[#This Row],[Count]])</f>
        <v>311</v>
      </c>
      <c r="C379" s="5" t="s">
        <v>68</v>
      </c>
      <c r="D379" s="5" t="s">
        <v>874</v>
      </c>
      <c r="E379" s="2" t="s">
        <v>13</v>
      </c>
      <c r="F379" s="2" t="s">
        <v>127</v>
      </c>
      <c r="R379" s="5" t="s">
        <v>875</v>
      </c>
    </row>
    <row r="380" spans="1:18" x14ac:dyDescent="0.25">
      <c r="A380" s="2" t="str">
        <f>"MED"&amp;TEXT(Table29[[#This Row],[Count]],"000")&amp;"."&amp;IF(Table29[[#This Row],[Category]]="Essential","E",IF(Table29[[#This Row],[Category]]="Discretionary","D","O"))</f>
        <v>MED312.E</v>
      </c>
      <c r="B380" s="2">
        <f>MAX(Table28[Count])+ROWS(INDEX(Table29[Count],1):Table29[[#This Row],[Count]])</f>
        <v>312</v>
      </c>
      <c r="C380" s="5" t="s">
        <v>68</v>
      </c>
      <c r="D380" s="5" t="s">
        <v>876</v>
      </c>
      <c r="E380" s="2" t="s">
        <v>13</v>
      </c>
      <c r="F380" s="2" t="s">
        <v>127</v>
      </c>
    </row>
    <row r="381" spans="1:18" ht="30" x14ac:dyDescent="0.25">
      <c r="A381" s="2" t="str">
        <f>"MED"&amp;TEXT(Table29[[#This Row],[Count]],"000")&amp;"."&amp;IF(Table29[[#This Row],[Category]]="Essential","E",IF(Table29[[#This Row],[Category]]="Discretionary","D","O"))</f>
        <v>MED313.E</v>
      </c>
      <c r="B381" s="2">
        <f>MAX(Table28[Count])+ROWS(INDEX(Table29[Count],1):Table29[[#This Row],[Count]])</f>
        <v>313</v>
      </c>
      <c r="C381" s="5" t="s">
        <v>68</v>
      </c>
      <c r="D381" s="5" t="s">
        <v>877</v>
      </c>
      <c r="E381" s="2" t="s">
        <v>13</v>
      </c>
      <c r="L381" s="2" t="s">
        <v>127</v>
      </c>
      <c r="M381" s="2" t="s">
        <v>127</v>
      </c>
      <c r="N381" s="2" t="s">
        <v>127</v>
      </c>
      <c r="O381" s="2" t="s">
        <v>127</v>
      </c>
      <c r="P381" s="2" t="s">
        <v>127</v>
      </c>
    </row>
    <row r="382" spans="1:18" x14ac:dyDescent="0.25">
      <c r="A382" s="2" t="str">
        <f>"MED"&amp;TEXT(Table29[[#This Row],[Count]],"000")&amp;"."&amp;IF(Table29[[#This Row],[Category]]="Essential","E",IF(Table29[[#This Row],[Category]]="Discretionary","D","O"))</f>
        <v>MED314.E</v>
      </c>
      <c r="B382" s="2">
        <f>MAX(Table28[Count])+ROWS(INDEX(Table29[Count],1):Table29[[#This Row],[Count]])</f>
        <v>314</v>
      </c>
      <c r="C382" s="5" t="s">
        <v>68</v>
      </c>
      <c r="D382" s="5" t="s">
        <v>878</v>
      </c>
      <c r="E382" s="2" t="s">
        <v>13</v>
      </c>
      <c r="N382" s="2" t="s">
        <v>127</v>
      </c>
      <c r="O382" s="2" t="s">
        <v>127</v>
      </c>
      <c r="P382" s="2" t="s">
        <v>127</v>
      </c>
      <c r="Q382" s="5" t="s">
        <v>127</v>
      </c>
    </row>
    <row r="383" spans="1:18" ht="30" x14ac:dyDescent="0.25">
      <c r="A383" s="2" t="str">
        <f>"MED"&amp;TEXT(Table29[[#This Row],[Count]],"000")&amp;"."&amp;IF(Table29[[#This Row],[Category]]="Essential","E",IF(Table29[[#This Row],[Category]]="Discretionary","D","O"))</f>
        <v>MED315.O</v>
      </c>
      <c r="B383" s="2">
        <f>MAX(Table28[Count])+ROWS(INDEX(Table29[Count],1):Table29[[#This Row],[Count]])</f>
        <v>315</v>
      </c>
      <c r="C383" s="5" t="s">
        <v>68</v>
      </c>
      <c r="D383" s="5" t="s">
        <v>879</v>
      </c>
      <c r="E383" s="2" t="s">
        <v>23</v>
      </c>
      <c r="M383" s="2" t="s">
        <v>127</v>
      </c>
      <c r="N383" s="2" t="s">
        <v>127</v>
      </c>
      <c r="O383" s="2" t="s">
        <v>127</v>
      </c>
      <c r="P383" s="2" t="s">
        <v>127</v>
      </c>
      <c r="Q383" s="5" t="s">
        <v>127</v>
      </c>
      <c r="R383" s="5" t="s">
        <v>880</v>
      </c>
    </row>
    <row r="384" spans="1:18" ht="30" x14ac:dyDescent="0.25">
      <c r="A384" s="2" t="str">
        <f>"MED"&amp;TEXT(Table29[[#This Row],[Count]],"000")&amp;"."&amp;IF(Table29[[#This Row],[Category]]="Essential","E",IF(Table29[[#This Row],[Category]]="Discretionary","D","O"))</f>
        <v>MED316.O</v>
      </c>
      <c r="B384" s="2">
        <f>MAX(Table28[Count])+ROWS(INDEX(Table29[Count],1):Table29[[#This Row],[Count]])</f>
        <v>316</v>
      </c>
      <c r="C384" s="5" t="s">
        <v>68</v>
      </c>
      <c r="D384" s="5" t="s">
        <v>881</v>
      </c>
      <c r="E384" s="2" t="s">
        <v>23</v>
      </c>
      <c r="M384" s="2" t="s">
        <v>127</v>
      </c>
      <c r="N384" s="2" t="s">
        <v>127</v>
      </c>
      <c r="O384" s="2" t="s">
        <v>127</v>
      </c>
      <c r="P384" s="2" t="s">
        <v>127</v>
      </c>
      <c r="Q384" s="5" t="s">
        <v>127</v>
      </c>
      <c r="R384" s="5" t="s">
        <v>880</v>
      </c>
    </row>
    <row r="385" spans="1:18" x14ac:dyDescent="0.25">
      <c r="A385" s="2" t="str">
        <f>"MED"&amp;TEXT(Table29[[#This Row],[Count]],"000")&amp;"."&amp;IF(Table29[[#This Row],[Category]]="Essential","E",IF(Table29[[#This Row],[Category]]="Discretionary","D","O"))</f>
        <v>MED317.E</v>
      </c>
      <c r="B385" s="2">
        <f>MAX(Table28[Count])+ROWS(INDEX(Table29[Count],1):Table29[[#This Row],[Count]])</f>
        <v>317</v>
      </c>
      <c r="C385" s="5" t="s">
        <v>68</v>
      </c>
      <c r="D385" s="5" t="s">
        <v>882</v>
      </c>
      <c r="E385" s="2" t="s">
        <v>13</v>
      </c>
      <c r="F385" s="2" t="s">
        <v>127</v>
      </c>
      <c r="R385" s="5" t="s">
        <v>875</v>
      </c>
    </row>
    <row r="386" spans="1:18" ht="45" x14ac:dyDescent="0.25">
      <c r="A386" s="2" t="str">
        <f>"MED"&amp;TEXT(Table29[[#This Row],[Count]],"000")&amp;"."&amp;IF(Table29[[#This Row],[Category]]="Essential","E",IF(Table29[[#This Row],[Category]]="Discretionary","D","O"))</f>
        <v>MED318.E</v>
      </c>
      <c r="B386" s="2">
        <f>MAX(Table28[Count])+ROWS(INDEX(Table29[Count],1):Table29[[#This Row],[Count]])</f>
        <v>318</v>
      </c>
      <c r="C386" s="5" t="s">
        <v>68</v>
      </c>
      <c r="D386" s="5" t="s">
        <v>883</v>
      </c>
      <c r="E386" s="2" t="s">
        <v>13</v>
      </c>
      <c r="L386" s="2" t="s">
        <v>127</v>
      </c>
      <c r="M386" s="2" t="s">
        <v>127</v>
      </c>
      <c r="N386" s="2" t="s">
        <v>127</v>
      </c>
      <c r="O386" s="2" t="s">
        <v>127</v>
      </c>
      <c r="P386" s="2" t="s">
        <v>127</v>
      </c>
      <c r="R386" s="5" t="s">
        <v>884</v>
      </c>
    </row>
    <row r="387" spans="1:18" x14ac:dyDescent="0.25">
      <c r="A387" s="2" t="str">
        <f>"MED"&amp;TEXT(Table29[[#This Row],[Count]],"000")&amp;"."&amp;IF(Table29[[#This Row],[Category]]="Essential","E",IF(Table29[[#This Row],[Category]]="Discretionary","D","O"))</f>
        <v>MED319.E</v>
      </c>
      <c r="B387" s="2">
        <f>MAX(Table28[Count])+ROWS(INDEX(Table29[Count],1):Table29[[#This Row],[Count]])</f>
        <v>319</v>
      </c>
      <c r="C387" s="5" t="s">
        <v>68</v>
      </c>
      <c r="D387" s="5" t="s">
        <v>885</v>
      </c>
      <c r="E387" s="2" t="s">
        <v>13</v>
      </c>
      <c r="F387" s="2" t="s">
        <v>127</v>
      </c>
    </row>
    <row r="388" spans="1:18" x14ac:dyDescent="0.25">
      <c r="A388" s="2" t="str">
        <f>"MED"&amp;TEXT(Table29[[#This Row],[Count]],"000")&amp;"."&amp;IF(Table29[[#This Row],[Category]]="Essential","E",IF(Table29[[#This Row],[Category]]="Discretionary","D","O"))</f>
        <v>MED320.D</v>
      </c>
      <c r="B388" s="2">
        <f>MAX(Table28[Count])+ROWS(INDEX(Table29[Count],1):Table29[[#This Row],[Count]])</f>
        <v>320</v>
      </c>
      <c r="C388" s="5" t="s">
        <v>68</v>
      </c>
      <c r="D388" s="5" t="s">
        <v>886</v>
      </c>
      <c r="E388" s="2" t="s">
        <v>18</v>
      </c>
    </row>
    <row r="389" spans="1:18" x14ac:dyDescent="0.25">
      <c r="A389" s="2" t="str">
        <f>"MED"&amp;TEXT(Table29[[#This Row],[Count]],"000")&amp;"."&amp;IF(Table29[[#This Row],[Category]]="Essential","E",IF(Table29[[#This Row],[Category]]="Discretionary","D","O"))</f>
        <v>MED321.E</v>
      </c>
      <c r="B389" s="2">
        <f>MAX(Table28[Count])+ROWS(INDEX(Table29[Count],1):Table29[[#This Row],[Count]])</f>
        <v>321</v>
      </c>
      <c r="C389" s="5" t="s">
        <v>68</v>
      </c>
      <c r="D389" s="5" t="s">
        <v>887</v>
      </c>
      <c r="E389" s="2" t="s">
        <v>13</v>
      </c>
      <c r="F389" s="2" t="s">
        <v>127</v>
      </c>
    </row>
    <row r="390" spans="1:18" ht="30" x14ac:dyDescent="0.25">
      <c r="A390" s="2" t="str">
        <f>"MED"&amp;TEXT(Table29[[#This Row],[Count]],"000")&amp;"."&amp;IF(Table29[[#This Row],[Category]]="Essential","E",IF(Table29[[#This Row],[Category]]="Discretionary","D","O"))</f>
        <v>MED322.E</v>
      </c>
      <c r="B390" s="2">
        <f>MAX(Table28[Count])+ROWS(INDEX(Table29[Count],1):Table29[[#This Row],[Count]])</f>
        <v>322</v>
      </c>
      <c r="C390" s="5" t="s">
        <v>68</v>
      </c>
      <c r="D390" s="5" t="s">
        <v>888</v>
      </c>
      <c r="E390" s="2" t="s">
        <v>13</v>
      </c>
      <c r="F390" s="2" t="s">
        <v>127</v>
      </c>
    </row>
    <row r="392" spans="1:18" x14ac:dyDescent="0.25">
      <c r="A392" s="58" t="s">
        <v>48</v>
      </c>
      <c r="B392" s="58"/>
      <c r="C392" s="58"/>
      <c r="D392" s="58"/>
      <c r="E392" s="58"/>
      <c r="F392" s="58"/>
      <c r="G392" s="58"/>
      <c r="H392" s="58"/>
      <c r="I392" s="58"/>
      <c r="J392" s="58"/>
      <c r="K392" s="58"/>
      <c r="L392" s="58"/>
      <c r="M392" s="58"/>
      <c r="N392" s="58"/>
      <c r="O392" s="58"/>
      <c r="P392" s="58"/>
      <c r="Q392" s="58"/>
      <c r="R392" s="58"/>
    </row>
    <row r="394" spans="1:18" x14ac:dyDescent="0.25">
      <c r="A394" s="6" t="s">
        <v>120</v>
      </c>
      <c r="B394" s="6" t="s">
        <v>121</v>
      </c>
      <c r="C394" s="7" t="s">
        <v>122</v>
      </c>
      <c r="D394" s="7" t="s">
        <v>123</v>
      </c>
      <c r="E394" s="6" t="s">
        <v>8</v>
      </c>
      <c r="F394" s="6" t="s">
        <v>124</v>
      </c>
      <c r="G394" s="6" t="s">
        <v>154</v>
      </c>
      <c r="H394" s="6" t="s">
        <v>155</v>
      </c>
      <c r="I394" s="6" t="s">
        <v>156</v>
      </c>
      <c r="J394" s="6" t="s">
        <v>157</v>
      </c>
      <c r="K394" s="6" t="s">
        <v>158</v>
      </c>
      <c r="L394" s="6" t="s">
        <v>159</v>
      </c>
      <c r="M394" s="6" t="s">
        <v>160</v>
      </c>
      <c r="N394" s="6" t="s">
        <v>161</v>
      </c>
      <c r="O394" s="6" t="s">
        <v>162</v>
      </c>
      <c r="P394" s="6" t="s">
        <v>163</v>
      </c>
      <c r="Q394" s="7" t="s">
        <v>164</v>
      </c>
      <c r="R394" s="7" t="s">
        <v>125</v>
      </c>
    </row>
    <row r="395" spans="1:18" ht="30" x14ac:dyDescent="0.25">
      <c r="A395" s="2" t="str">
        <f>"MED"&amp;TEXT(Table30[[#This Row],[Count]],"000")&amp;"."&amp;IF(Table30[[#This Row],[Category]]="Essential","E",IF(Table30[[#This Row],[Category]]="Discretionary","D","O"))</f>
        <v>MED323.O</v>
      </c>
      <c r="B395" s="2">
        <f>MAX(Table29[Count])+ROWS(INDEX(Table30[Count],1):Table30[[#This Row],[Count]])</f>
        <v>323</v>
      </c>
      <c r="C395" s="5" t="s">
        <v>48</v>
      </c>
      <c r="D395" s="5" t="s">
        <v>889</v>
      </c>
      <c r="E395" s="2" t="s">
        <v>23</v>
      </c>
      <c r="R395" s="5" t="s">
        <v>880</v>
      </c>
    </row>
    <row r="397" spans="1:18" x14ac:dyDescent="0.25">
      <c r="A397" s="58" t="s">
        <v>73</v>
      </c>
      <c r="B397" s="58"/>
      <c r="C397" s="58"/>
      <c r="D397" s="58"/>
      <c r="E397" s="58"/>
      <c r="F397" s="58"/>
      <c r="G397" s="58"/>
      <c r="H397" s="58"/>
      <c r="I397" s="58"/>
      <c r="J397" s="58"/>
      <c r="K397" s="58"/>
      <c r="L397" s="58"/>
      <c r="M397" s="58"/>
      <c r="N397" s="58"/>
      <c r="O397" s="58"/>
      <c r="P397" s="58"/>
      <c r="Q397" s="58"/>
      <c r="R397" s="58"/>
    </row>
    <row r="399" spans="1:18" x14ac:dyDescent="0.25">
      <c r="A399" s="6" t="s">
        <v>120</v>
      </c>
      <c r="B399" s="6" t="s">
        <v>121</v>
      </c>
      <c r="C399" s="7" t="s">
        <v>122</v>
      </c>
      <c r="D399" s="7" t="s">
        <v>123</v>
      </c>
      <c r="E399" s="6" t="s">
        <v>8</v>
      </c>
      <c r="F399" s="6" t="s">
        <v>124</v>
      </c>
      <c r="G399" s="6" t="s">
        <v>154</v>
      </c>
      <c r="H399" s="6" t="s">
        <v>155</v>
      </c>
      <c r="I399" s="6" t="s">
        <v>156</v>
      </c>
      <c r="J399" s="6" t="s">
        <v>157</v>
      </c>
      <c r="K399" s="6" t="s">
        <v>158</v>
      </c>
      <c r="L399" s="6" t="s">
        <v>159</v>
      </c>
      <c r="M399" s="6" t="s">
        <v>160</v>
      </c>
      <c r="N399" s="6" t="s">
        <v>161</v>
      </c>
      <c r="O399" s="6" t="s">
        <v>162</v>
      </c>
      <c r="P399" s="6" t="s">
        <v>163</v>
      </c>
      <c r="Q399" s="7" t="s">
        <v>164</v>
      </c>
      <c r="R399" s="7" t="s">
        <v>125</v>
      </c>
    </row>
    <row r="400" spans="1:18" ht="60" x14ac:dyDescent="0.25">
      <c r="A400" s="2" t="str">
        <f>"MED"&amp;TEXT(Table31[[#This Row],[Count]],"000")&amp;"."&amp;IF(Table31[[#This Row],[Category]]="Essential","E",IF(Table31[[#This Row],[Category]]="Discretionary","D","O"))</f>
        <v>MED324.E</v>
      </c>
      <c r="B400" s="2">
        <f>MAX(Table30[Count])+ROWS(INDEX(Table31[Count],1):Table31[[#This Row],[Count]])</f>
        <v>324</v>
      </c>
      <c r="C400" s="5" t="s">
        <v>73</v>
      </c>
      <c r="D400" s="5" t="s">
        <v>890</v>
      </c>
      <c r="E400" s="2" t="s">
        <v>13</v>
      </c>
      <c r="F400" s="2" t="s">
        <v>127</v>
      </c>
      <c r="R400" s="5" t="s">
        <v>891</v>
      </c>
    </row>
    <row r="401" spans="1:18" ht="30" x14ac:dyDescent="0.25">
      <c r="A401" s="2" t="str">
        <f>"MED"&amp;TEXT(Table31[[#This Row],[Count]],"000")&amp;"."&amp;IF(Table31[[#This Row],[Category]]="Essential","E",IF(Table31[[#This Row],[Category]]="Discretionary","D","O"))</f>
        <v>MED325.E</v>
      </c>
      <c r="B401" s="2">
        <f>MAX(Table30[Count])+ROWS(INDEX(Table31[Count],1):Table31[[#This Row],[Count]])</f>
        <v>325</v>
      </c>
      <c r="C401" s="5" t="s">
        <v>73</v>
      </c>
      <c r="D401" s="5" t="s">
        <v>892</v>
      </c>
      <c r="E401" s="2" t="s">
        <v>13</v>
      </c>
      <c r="F401" s="2" t="s">
        <v>127</v>
      </c>
    </row>
    <row r="402" spans="1:18" ht="30" x14ac:dyDescent="0.25">
      <c r="A402" s="2" t="str">
        <f>"MED"&amp;TEXT(Table31[[#This Row],[Count]],"000")&amp;"."&amp;IF(Table31[[#This Row],[Category]]="Essential","E",IF(Table31[[#This Row],[Category]]="Discretionary","D","O"))</f>
        <v>MED326.E</v>
      </c>
      <c r="B402" s="2">
        <f>MAX(Table30[Count])+ROWS(INDEX(Table31[Count],1):Table31[[#This Row],[Count]])</f>
        <v>326</v>
      </c>
      <c r="C402" s="5" t="s">
        <v>73</v>
      </c>
      <c r="D402" s="5" t="s">
        <v>893</v>
      </c>
      <c r="E402" s="2" t="s">
        <v>13</v>
      </c>
      <c r="F402" s="2" t="s">
        <v>127</v>
      </c>
      <c r="R402" s="5" t="s">
        <v>891</v>
      </c>
    </row>
    <row r="403" spans="1:18" ht="30" x14ac:dyDescent="0.25">
      <c r="A403" s="2" t="str">
        <f>"MED"&amp;TEXT(Table31[[#This Row],[Count]],"000")&amp;"."&amp;IF(Table31[[#This Row],[Category]]="Essential","E",IF(Table31[[#This Row],[Category]]="Discretionary","D","O"))</f>
        <v>MED327.E</v>
      </c>
      <c r="B403" s="2">
        <f>MAX(Table30[Count])+ROWS(INDEX(Table31[Count],1):Table31[[#This Row],[Count]])</f>
        <v>327</v>
      </c>
      <c r="C403" s="5" t="s">
        <v>73</v>
      </c>
      <c r="D403" s="5" t="s">
        <v>894</v>
      </c>
      <c r="E403" s="2" t="s">
        <v>13</v>
      </c>
      <c r="F403" s="2" t="s">
        <v>127</v>
      </c>
    </row>
    <row r="404" spans="1:18" ht="30" x14ac:dyDescent="0.25">
      <c r="A404" s="2" t="str">
        <f>"MED"&amp;TEXT(Table31[[#This Row],[Count]],"000")&amp;"."&amp;IF(Table31[[#This Row],[Category]]="Essential","E",IF(Table31[[#This Row],[Category]]="Discretionary","D","O"))</f>
        <v>MED328.O</v>
      </c>
      <c r="B404" s="2">
        <f>MAX(Table30[Count])+ROWS(INDEX(Table31[Count],1):Table31[[#This Row],[Count]])</f>
        <v>328</v>
      </c>
      <c r="C404" s="5" t="s">
        <v>73</v>
      </c>
      <c r="D404" s="5" t="s">
        <v>895</v>
      </c>
      <c r="E404" s="2" t="s">
        <v>23</v>
      </c>
      <c r="G404" s="2" t="s">
        <v>127</v>
      </c>
      <c r="H404" s="2" t="s">
        <v>127</v>
      </c>
      <c r="I404" s="2" t="s">
        <v>127</v>
      </c>
      <c r="R404" s="5" t="s">
        <v>896</v>
      </c>
    </row>
    <row r="405" spans="1:18" ht="30" x14ac:dyDescent="0.25">
      <c r="A405" s="2" t="str">
        <f>"MED"&amp;TEXT(Table31[[#This Row],[Count]],"000")&amp;"."&amp;IF(Table31[[#This Row],[Category]]="Essential","E",IF(Table31[[#This Row],[Category]]="Discretionary","D","O"))</f>
        <v>MED329.E</v>
      </c>
      <c r="B405" s="2">
        <f>MAX(Table30[Count])+ROWS(INDEX(Table31[Count],1):Table31[[#This Row],[Count]])</f>
        <v>329</v>
      </c>
      <c r="C405" s="5" t="s">
        <v>75</v>
      </c>
      <c r="D405" s="5" t="s">
        <v>897</v>
      </c>
      <c r="E405" s="2" t="s">
        <v>13</v>
      </c>
      <c r="H405" s="2" t="s">
        <v>127</v>
      </c>
      <c r="I405" s="2" t="s">
        <v>127</v>
      </c>
    </row>
    <row r="406" spans="1:18" ht="30" x14ac:dyDescent="0.25">
      <c r="A406" s="2" t="str">
        <f>"MED"&amp;TEXT(Table31[[#This Row],[Count]],"000")&amp;"."&amp;IF(Table31[[#This Row],[Category]]="Essential","E",IF(Table31[[#This Row],[Category]]="Discretionary","D","O"))</f>
        <v>MED330.E</v>
      </c>
      <c r="B406" s="2">
        <f>MAX(Table30[Count])+ROWS(INDEX(Table31[Count],1):Table31[[#This Row],[Count]])</f>
        <v>330</v>
      </c>
      <c r="C406" s="5" t="s">
        <v>898</v>
      </c>
      <c r="D406" s="5" t="s">
        <v>899</v>
      </c>
      <c r="E406" s="2" t="s">
        <v>13</v>
      </c>
      <c r="G406" s="2" t="s">
        <v>127</v>
      </c>
      <c r="H406" s="2" t="s">
        <v>127</v>
      </c>
      <c r="I406" s="2" t="s">
        <v>127</v>
      </c>
    </row>
    <row r="407" spans="1:18" ht="30" x14ac:dyDescent="0.25">
      <c r="A407" s="2" t="str">
        <f>"MED"&amp;TEXT(Table31[[#This Row],[Count]],"000")&amp;"."&amp;IF(Table31[[#This Row],[Category]]="Essential","E",IF(Table31[[#This Row],[Category]]="Discretionary","D","O"))</f>
        <v>MED331.E</v>
      </c>
      <c r="B407" s="2">
        <f>MAX(Table30[Count])+ROWS(INDEX(Table31[Count],1):Table31[[#This Row],[Count]])</f>
        <v>331</v>
      </c>
      <c r="C407" s="5" t="s">
        <v>900</v>
      </c>
      <c r="D407" s="5" t="s">
        <v>901</v>
      </c>
      <c r="E407" s="2" t="s">
        <v>13</v>
      </c>
      <c r="G407" s="2" t="s">
        <v>127</v>
      </c>
      <c r="H407" s="2" t="s">
        <v>127</v>
      </c>
      <c r="I407" s="2" t="s">
        <v>127</v>
      </c>
    </row>
    <row r="408" spans="1:18" ht="30" x14ac:dyDescent="0.25">
      <c r="A408" s="2" t="str">
        <f>"MED"&amp;TEXT(Table31[[#This Row],[Count]],"000")&amp;"."&amp;IF(Table31[[#This Row],[Category]]="Essential","E",IF(Table31[[#This Row],[Category]]="Discretionary","D","O"))</f>
        <v>MED332.E</v>
      </c>
      <c r="B408" s="2">
        <f>MAX(Table30[Count])+ROWS(INDEX(Table31[Count],1):Table31[[#This Row],[Count]])</f>
        <v>332</v>
      </c>
      <c r="C408" s="5" t="s">
        <v>902</v>
      </c>
      <c r="D408" s="5" t="s">
        <v>903</v>
      </c>
      <c r="E408" s="2" t="s">
        <v>13</v>
      </c>
      <c r="I408" s="2" t="s">
        <v>127</v>
      </c>
      <c r="R408" s="5" t="s">
        <v>904</v>
      </c>
    </row>
    <row r="410" spans="1:18" x14ac:dyDescent="0.25">
      <c r="A410" s="58" t="s">
        <v>75</v>
      </c>
      <c r="B410" s="58"/>
      <c r="C410" s="58"/>
      <c r="D410" s="58"/>
      <c r="E410" s="58"/>
      <c r="F410" s="58"/>
      <c r="G410" s="58"/>
      <c r="H410" s="58"/>
      <c r="I410" s="58"/>
      <c r="J410" s="58"/>
      <c r="K410" s="58"/>
      <c r="L410" s="58"/>
      <c r="M410" s="58"/>
      <c r="N410" s="58"/>
      <c r="O410" s="58"/>
      <c r="P410" s="58"/>
      <c r="Q410" s="58"/>
      <c r="R410" s="58"/>
    </row>
    <row r="412" spans="1:18" x14ac:dyDescent="0.25">
      <c r="A412" s="6" t="s">
        <v>120</v>
      </c>
      <c r="B412" s="6" t="s">
        <v>121</v>
      </c>
      <c r="C412" s="7" t="s">
        <v>122</v>
      </c>
      <c r="D412" s="7" t="s">
        <v>123</v>
      </c>
      <c r="E412" s="6" t="s">
        <v>8</v>
      </c>
      <c r="F412" s="6" t="s">
        <v>124</v>
      </c>
      <c r="G412" s="6" t="s">
        <v>154</v>
      </c>
      <c r="H412" s="6" t="s">
        <v>155</v>
      </c>
      <c r="I412" s="6" t="s">
        <v>156</v>
      </c>
      <c r="J412" s="6" t="s">
        <v>157</v>
      </c>
      <c r="K412" s="6" t="s">
        <v>158</v>
      </c>
      <c r="L412" s="6" t="s">
        <v>159</v>
      </c>
      <c r="M412" s="6" t="s">
        <v>160</v>
      </c>
      <c r="N412" s="6" t="s">
        <v>161</v>
      </c>
      <c r="O412" s="6" t="s">
        <v>162</v>
      </c>
      <c r="P412" s="6" t="s">
        <v>163</v>
      </c>
      <c r="Q412" s="7" t="s">
        <v>164</v>
      </c>
      <c r="R412" s="7" t="s">
        <v>125</v>
      </c>
    </row>
    <row r="413" spans="1:18" ht="45" x14ac:dyDescent="0.25">
      <c r="A413" s="2" t="str">
        <f>"MED"&amp;TEXT(Table32[[#This Row],[Count]],"000")&amp;"."&amp;IF(Table32[[#This Row],[Category]]="Essential","E",IF(Table32[[#This Row],[Category]]="Discretionary","D","O"))</f>
        <v>MED333.E</v>
      </c>
      <c r="B413" s="2">
        <f>MAX(Table31[Count])+ROWS(INDEX(Table32[Count],1):Table32[[#This Row],[Count]])</f>
        <v>333</v>
      </c>
      <c r="C413" s="5" t="s">
        <v>75</v>
      </c>
      <c r="D413" s="5" t="s">
        <v>538</v>
      </c>
      <c r="E413" s="2" t="s">
        <v>13</v>
      </c>
      <c r="F413" s="2" t="s">
        <v>127</v>
      </c>
    </row>
    <row r="414" spans="1:18" ht="45" x14ac:dyDescent="0.25">
      <c r="A414" s="2" t="str">
        <f>"MED"&amp;TEXT(Table32[[#This Row],[Count]],"000")&amp;"."&amp;IF(Table32[[#This Row],[Category]]="Essential","E",IF(Table32[[#This Row],[Category]]="Discretionary","D","O"))</f>
        <v>MED334.E</v>
      </c>
      <c r="B414" s="2">
        <f>MAX(Table31[Count])+ROWS(INDEX(Table32[Count],1):Table32[[#This Row],[Count]])</f>
        <v>334</v>
      </c>
      <c r="C414" s="5" t="s">
        <v>75</v>
      </c>
      <c r="D414" s="5" t="s">
        <v>905</v>
      </c>
      <c r="E414" s="2" t="s">
        <v>13</v>
      </c>
      <c r="F414" s="2" t="s">
        <v>127</v>
      </c>
    </row>
    <row r="415" spans="1:18" ht="30" x14ac:dyDescent="0.25">
      <c r="A415" s="2" t="str">
        <f>"MED"&amp;TEXT(Table32[[#This Row],[Count]],"000")&amp;"."&amp;IF(Table32[[#This Row],[Category]]="Essential","E",IF(Table32[[#This Row],[Category]]="Discretionary","D","O"))</f>
        <v>MED335.E</v>
      </c>
      <c r="B415" s="2">
        <f>MAX(Table31[Count])+ROWS(INDEX(Table32[Count],1):Table32[[#This Row],[Count]])</f>
        <v>335</v>
      </c>
      <c r="C415" s="5" t="s">
        <v>75</v>
      </c>
      <c r="D415" s="5" t="s">
        <v>906</v>
      </c>
      <c r="E415" s="2" t="s">
        <v>13</v>
      </c>
      <c r="F415" s="2" t="s">
        <v>127</v>
      </c>
    </row>
    <row r="416" spans="1:18" ht="30" x14ac:dyDescent="0.25">
      <c r="A416" s="2" t="str">
        <f>"MED"&amp;TEXT(Table32[[#This Row],[Count]],"000")&amp;"."&amp;IF(Table32[[#This Row],[Category]]="Essential","E",IF(Table32[[#This Row],[Category]]="Discretionary","D","O"))</f>
        <v>MED336.E</v>
      </c>
      <c r="B416" s="2">
        <f>MAX(Table31[Count])+ROWS(INDEX(Table32[Count],1):Table32[[#This Row],[Count]])</f>
        <v>336</v>
      </c>
      <c r="C416" s="5" t="s">
        <v>75</v>
      </c>
      <c r="D416" s="5" t="s">
        <v>907</v>
      </c>
      <c r="E416" s="2" t="s">
        <v>13</v>
      </c>
      <c r="F416" s="2" t="s">
        <v>127</v>
      </c>
      <c r="R416" s="5" t="s">
        <v>908</v>
      </c>
    </row>
    <row r="417" spans="1:18" ht="30" x14ac:dyDescent="0.25">
      <c r="A417" s="2" t="str">
        <f>"MED"&amp;TEXT(Table32[[#This Row],[Count]],"000")&amp;"."&amp;IF(Table32[[#This Row],[Category]]="Essential","E",IF(Table32[[#This Row],[Category]]="Discretionary","D","O"))</f>
        <v>MED337.E</v>
      </c>
      <c r="B417" s="2">
        <f>MAX(Table31[Count])+ROWS(INDEX(Table32[Count],1):Table32[[#This Row],[Count]])</f>
        <v>337</v>
      </c>
      <c r="C417" s="5" t="s">
        <v>75</v>
      </c>
      <c r="D417" s="5" t="s">
        <v>909</v>
      </c>
      <c r="E417" s="2" t="s">
        <v>13</v>
      </c>
      <c r="F417" s="2" t="s">
        <v>127</v>
      </c>
    </row>
    <row r="418" spans="1:18" ht="30" x14ac:dyDescent="0.25">
      <c r="A418" s="2" t="str">
        <f>"MED"&amp;TEXT(Table32[[#This Row],[Count]],"000")&amp;"."&amp;IF(Table32[[#This Row],[Category]]="Essential","E",IF(Table32[[#This Row],[Category]]="Discretionary","D","O"))</f>
        <v>MED338.E</v>
      </c>
      <c r="B418" s="2">
        <f>MAX(Table31[Count])+ROWS(INDEX(Table32[Count],1):Table32[[#This Row],[Count]])</f>
        <v>338</v>
      </c>
      <c r="C418" s="5" t="s">
        <v>75</v>
      </c>
      <c r="D418" s="5" t="s">
        <v>910</v>
      </c>
      <c r="E418" s="2" t="s">
        <v>13</v>
      </c>
      <c r="F418" s="2" t="s">
        <v>127</v>
      </c>
    </row>
    <row r="419" spans="1:18" ht="30" x14ac:dyDescent="0.25">
      <c r="A419" s="2" t="str">
        <f>"MED"&amp;TEXT(Table32[[#This Row],[Count]],"000")&amp;"."&amp;IF(Table32[[#This Row],[Category]]="Essential","E",IF(Table32[[#This Row],[Category]]="Discretionary","D","O"))</f>
        <v>MED339.E</v>
      </c>
      <c r="B419" s="2">
        <f>MAX(Table31[Count])+ROWS(INDEX(Table32[Count],1):Table32[[#This Row],[Count]])</f>
        <v>339</v>
      </c>
      <c r="C419" s="5" t="s">
        <v>75</v>
      </c>
      <c r="D419" s="5" t="s">
        <v>911</v>
      </c>
      <c r="E419" s="2" t="s">
        <v>13</v>
      </c>
      <c r="F419" s="2" t="s">
        <v>127</v>
      </c>
    </row>
    <row r="420" spans="1:18" ht="60" x14ac:dyDescent="0.25">
      <c r="A420" s="2" t="str">
        <f>"MED"&amp;TEXT(Table32[[#This Row],[Count]],"000")&amp;"."&amp;IF(Table32[[#This Row],[Category]]="Essential","E",IF(Table32[[#This Row],[Category]]="Discretionary","D","O"))</f>
        <v>MED340.E</v>
      </c>
      <c r="B420" s="2">
        <f>MAX(Table31[Count])+ROWS(INDEX(Table32[Count],1):Table32[[#This Row],[Count]])</f>
        <v>340</v>
      </c>
      <c r="C420" s="5" t="s">
        <v>75</v>
      </c>
      <c r="D420" s="5" t="s">
        <v>912</v>
      </c>
      <c r="E420" s="2" t="s">
        <v>13</v>
      </c>
      <c r="I420" s="2" t="s">
        <v>127</v>
      </c>
      <c r="J420" s="2" t="s">
        <v>127</v>
      </c>
      <c r="K420" s="2" t="s">
        <v>127</v>
      </c>
      <c r="L420" s="2" t="s">
        <v>127</v>
      </c>
      <c r="M420" s="2" t="s">
        <v>127</v>
      </c>
      <c r="N420" s="2" t="s">
        <v>127</v>
      </c>
      <c r="O420" s="2" t="s">
        <v>127</v>
      </c>
      <c r="P420" s="2" t="s">
        <v>127</v>
      </c>
      <c r="Q420" s="5" t="s">
        <v>127</v>
      </c>
    </row>
    <row r="421" spans="1:18" ht="30" x14ac:dyDescent="0.25">
      <c r="A421" s="2" t="str">
        <f>"MED"&amp;TEXT(Table32[[#This Row],[Count]],"000")&amp;"."&amp;IF(Table32[[#This Row],[Category]]="Essential","E",IF(Table32[[#This Row],[Category]]="Discretionary","D","O"))</f>
        <v>MED341.E</v>
      </c>
      <c r="B421" s="2">
        <f>MAX(Table31[Count])+ROWS(INDEX(Table32[Count],1):Table32[[#This Row],[Count]])</f>
        <v>341</v>
      </c>
      <c r="C421" s="5" t="s">
        <v>75</v>
      </c>
      <c r="D421" s="5" t="s">
        <v>913</v>
      </c>
      <c r="E421" s="2" t="s">
        <v>13</v>
      </c>
      <c r="F421" s="2" t="s">
        <v>127</v>
      </c>
    </row>
    <row r="422" spans="1:18" ht="30" x14ac:dyDescent="0.25">
      <c r="A422" s="2" t="str">
        <f>"MED"&amp;TEXT(Table32[[#This Row],[Count]],"000")&amp;"."&amp;IF(Table32[[#This Row],[Category]]="Essential","E",IF(Table32[[#This Row],[Category]]="Discretionary","D","O"))</f>
        <v>MED342.E</v>
      </c>
      <c r="B422" s="2">
        <f>MAX(Table31[Count])+ROWS(INDEX(Table32[Count],1):Table32[[#This Row],[Count]])</f>
        <v>342</v>
      </c>
      <c r="C422" s="5" t="s">
        <v>75</v>
      </c>
      <c r="D422" s="5" t="s">
        <v>914</v>
      </c>
      <c r="E422" s="2" t="s">
        <v>13</v>
      </c>
      <c r="F422" s="2" t="s">
        <v>127</v>
      </c>
    </row>
    <row r="423" spans="1:18" ht="30" x14ac:dyDescent="0.25">
      <c r="A423" s="2" t="str">
        <f>"MED"&amp;TEXT(Table32[[#This Row],[Count]],"000")&amp;"."&amp;IF(Table32[[#This Row],[Category]]="Essential","E",IF(Table32[[#This Row],[Category]]="Discretionary","D","O"))</f>
        <v>MED343.E</v>
      </c>
      <c r="B423" s="2">
        <f>MAX(Table31[Count])+ROWS(INDEX(Table32[Count],1):Table32[[#This Row],[Count]])</f>
        <v>343</v>
      </c>
      <c r="C423" s="5" t="s">
        <v>75</v>
      </c>
      <c r="D423" s="5" t="s">
        <v>915</v>
      </c>
      <c r="E423" s="2" t="s">
        <v>13</v>
      </c>
      <c r="F423" s="2" t="s">
        <v>127</v>
      </c>
    </row>
    <row r="424" spans="1:18" ht="30" x14ac:dyDescent="0.25">
      <c r="A424" s="2" t="str">
        <f>"MED"&amp;TEXT(Table32[[#This Row],[Count]],"000")&amp;"."&amp;IF(Table32[[#This Row],[Category]]="Essential","E",IF(Table32[[#This Row],[Category]]="Discretionary","D","O"))</f>
        <v>MED344.E</v>
      </c>
      <c r="B424" s="2">
        <f>MAX(Table31[Count])+ROWS(INDEX(Table32[Count],1):Table32[[#This Row],[Count]])</f>
        <v>344</v>
      </c>
      <c r="C424" s="5" t="s">
        <v>75</v>
      </c>
      <c r="D424" s="5" t="s">
        <v>916</v>
      </c>
      <c r="E424" s="2" t="s">
        <v>13</v>
      </c>
      <c r="F424" s="2" t="s">
        <v>127</v>
      </c>
    </row>
    <row r="425" spans="1:18" ht="30" x14ac:dyDescent="0.25">
      <c r="A425" s="2" t="str">
        <f>"MED"&amp;TEXT(Table32[[#This Row],[Count]],"000")&amp;"."&amp;IF(Table32[[#This Row],[Category]]="Essential","E",IF(Table32[[#This Row],[Category]]="Discretionary","D","O"))</f>
        <v>MED345.E</v>
      </c>
      <c r="B425" s="2">
        <f>MAX(Table31[Count])+ROWS(INDEX(Table32[Count],1):Table32[[#This Row],[Count]])</f>
        <v>345</v>
      </c>
      <c r="C425" s="5" t="s">
        <v>75</v>
      </c>
      <c r="D425" s="5" t="s">
        <v>917</v>
      </c>
      <c r="E425" s="2" t="s">
        <v>13</v>
      </c>
      <c r="F425" s="2" t="s">
        <v>127</v>
      </c>
    </row>
    <row r="426" spans="1:18" ht="30" x14ac:dyDescent="0.25">
      <c r="A426" s="2" t="str">
        <f>"MED"&amp;TEXT(Table32[[#This Row],[Count]],"000")&amp;"."&amp;IF(Table32[[#This Row],[Category]]="Essential","E",IF(Table32[[#This Row],[Category]]="Discretionary","D","O"))</f>
        <v>MED346.E</v>
      </c>
      <c r="B426" s="2">
        <f>MAX(Table31[Count])+ROWS(INDEX(Table32[Count],1):Table32[[#This Row],[Count]])</f>
        <v>346</v>
      </c>
      <c r="C426" s="5" t="s">
        <v>75</v>
      </c>
      <c r="D426" s="5" t="s">
        <v>918</v>
      </c>
      <c r="E426" s="2" t="s">
        <v>13</v>
      </c>
      <c r="I426" s="2" t="s">
        <v>127</v>
      </c>
      <c r="J426" s="2" t="s">
        <v>127</v>
      </c>
      <c r="K426" s="2" t="s">
        <v>127</v>
      </c>
      <c r="L426" s="2" t="s">
        <v>127</v>
      </c>
      <c r="M426" s="2" t="s">
        <v>127</v>
      </c>
      <c r="N426" s="2" t="s">
        <v>127</v>
      </c>
      <c r="O426" s="2" t="s">
        <v>127</v>
      </c>
      <c r="P426" s="2" t="s">
        <v>127</v>
      </c>
      <c r="Q426" s="5" t="s">
        <v>127</v>
      </c>
    </row>
    <row r="428" spans="1:18" x14ac:dyDescent="0.25">
      <c r="A428" s="58" t="s">
        <v>78</v>
      </c>
      <c r="B428" s="58"/>
      <c r="C428" s="58"/>
      <c r="D428" s="58"/>
      <c r="E428" s="58"/>
      <c r="F428" s="58"/>
      <c r="G428" s="58"/>
      <c r="H428" s="58"/>
      <c r="I428" s="58"/>
      <c r="J428" s="58"/>
      <c r="K428" s="58"/>
      <c r="L428" s="58"/>
      <c r="M428" s="58"/>
      <c r="N428" s="58"/>
      <c r="O428" s="58"/>
      <c r="P428" s="58"/>
      <c r="Q428" s="58"/>
      <c r="R428" s="58"/>
    </row>
    <row r="430" spans="1:18" x14ac:dyDescent="0.25">
      <c r="A430" s="6" t="s">
        <v>120</v>
      </c>
      <c r="B430" s="6" t="s">
        <v>121</v>
      </c>
      <c r="C430" s="7" t="s">
        <v>122</v>
      </c>
      <c r="D430" s="7" t="s">
        <v>123</v>
      </c>
      <c r="E430" s="6" t="s">
        <v>8</v>
      </c>
      <c r="F430" s="6" t="s">
        <v>124</v>
      </c>
      <c r="G430" s="6" t="s">
        <v>154</v>
      </c>
      <c r="H430" s="6" t="s">
        <v>155</v>
      </c>
      <c r="I430" s="6" t="s">
        <v>156</v>
      </c>
      <c r="J430" s="6" t="s">
        <v>157</v>
      </c>
      <c r="K430" s="6" t="s">
        <v>158</v>
      </c>
      <c r="L430" s="6" t="s">
        <v>159</v>
      </c>
      <c r="M430" s="6" t="s">
        <v>160</v>
      </c>
      <c r="N430" s="6" t="s">
        <v>161</v>
      </c>
      <c r="O430" s="6" t="s">
        <v>162</v>
      </c>
      <c r="P430" s="6" t="s">
        <v>163</v>
      </c>
      <c r="Q430" s="7" t="s">
        <v>164</v>
      </c>
      <c r="R430" s="7" t="s">
        <v>125</v>
      </c>
    </row>
    <row r="431" spans="1:18" ht="30" x14ac:dyDescent="0.25">
      <c r="A431" s="2" t="str">
        <f>"MED"&amp;TEXT(Table33[[#This Row],[Count]],"000")&amp;"."&amp;IF(Table33[[#This Row],[Category]]="Essential","E",IF(Table33[[#This Row],[Category]]="Discretionary","D","O"))</f>
        <v>MED347.E</v>
      </c>
      <c r="B431" s="2">
        <f>MAX(Table32[Count])+ROWS(INDEX(Table33[Count],1):Table33[[#This Row],[Count]])</f>
        <v>347</v>
      </c>
      <c r="C431" s="5" t="s">
        <v>78</v>
      </c>
      <c r="D431" s="5" t="s">
        <v>633</v>
      </c>
      <c r="E431" s="2" t="s">
        <v>13</v>
      </c>
      <c r="F431" s="2" t="s">
        <v>127</v>
      </c>
    </row>
    <row r="432" spans="1:18" ht="30" x14ac:dyDescent="0.25">
      <c r="A432" s="2" t="str">
        <f>"MED"&amp;TEXT(Table33[[#This Row],[Count]],"000")&amp;"."&amp;IF(Table33[[#This Row],[Category]]="Essential","E",IF(Table33[[#This Row],[Category]]="Discretionary","D","O"))</f>
        <v>MED348.E</v>
      </c>
      <c r="B432" s="2">
        <f>MAX(Table32[Count])+ROWS(INDEX(Table33[Count],1):Table33[[#This Row],[Count]])</f>
        <v>348</v>
      </c>
      <c r="C432" s="5" t="s">
        <v>78</v>
      </c>
      <c r="D432" s="5" t="s">
        <v>919</v>
      </c>
      <c r="E432" s="2" t="s">
        <v>13</v>
      </c>
      <c r="F432" s="2" t="s">
        <v>127</v>
      </c>
      <c r="R432" s="5" t="s">
        <v>920</v>
      </c>
    </row>
    <row r="433" spans="1:16" x14ac:dyDescent="0.25">
      <c r="A433" s="2" t="str">
        <f>"MED"&amp;TEXT(Table33[[#This Row],[Count]],"000")&amp;"."&amp;IF(Table33[[#This Row],[Category]]="Essential","E",IF(Table33[[#This Row],[Category]]="Discretionary","D","O"))</f>
        <v>MED349.E</v>
      </c>
      <c r="B433" s="2">
        <f>MAX(Table32[Count])+ROWS(INDEX(Table33[Count],1):Table33[[#This Row],[Count]])</f>
        <v>349</v>
      </c>
      <c r="C433" s="5" t="s">
        <v>78</v>
      </c>
      <c r="D433" s="5" t="s">
        <v>921</v>
      </c>
      <c r="E433" s="2" t="s">
        <v>13</v>
      </c>
      <c r="F433" s="2" t="s">
        <v>127</v>
      </c>
    </row>
    <row r="434" spans="1:16" x14ac:dyDescent="0.25">
      <c r="A434" s="2" t="str">
        <f>"MED"&amp;TEXT(Table33[[#This Row],[Count]],"000")&amp;"."&amp;IF(Table33[[#This Row],[Category]]="Essential","E",IF(Table33[[#This Row],[Category]]="Discretionary","D","O"))</f>
        <v>MED350.E</v>
      </c>
      <c r="B434" s="2">
        <f>MAX(Table32[Count])+ROWS(INDEX(Table33[Count],1):Table33[[#This Row],[Count]])</f>
        <v>350</v>
      </c>
      <c r="C434" s="5" t="s">
        <v>78</v>
      </c>
      <c r="D434" s="5" t="s">
        <v>922</v>
      </c>
      <c r="E434" s="2" t="s">
        <v>13</v>
      </c>
      <c r="F434" s="2" t="s">
        <v>127</v>
      </c>
    </row>
    <row r="435" spans="1:16" x14ac:dyDescent="0.25">
      <c r="A435" s="2" t="str">
        <f>"MED"&amp;TEXT(Table33[[#This Row],[Count]],"000")&amp;"."&amp;IF(Table33[[#This Row],[Category]]="Essential","E",IF(Table33[[#This Row],[Category]]="Discretionary","D","O"))</f>
        <v>MED351.E</v>
      </c>
      <c r="B435" s="2">
        <f>MAX(Table32[Count])+ROWS(INDEX(Table33[Count],1):Table33[[#This Row],[Count]])</f>
        <v>351</v>
      </c>
      <c r="C435" s="5" t="s">
        <v>78</v>
      </c>
      <c r="D435" s="5" t="s">
        <v>923</v>
      </c>
      <c r="E435" s="2" t="s">
        <v>13</v>
      </c>
      <c r="F435" s="2" t="s">
        <v>127</v>
      </c>
    </row>
    <row r="436" spans="1:16" ht="30" x14ac:dyDescent="0.25">
      <c r="A436" s="2" t="str">
        <f>"MED"&amp;TEXT(Table33[[#This Row],[Count]],"000")&amp;"."&amp;IF(Table33[[#This Row],[Category]]="Essential","E",IF(Table33[[#This Row],[Category]]="Discretionary","D","O"))</f>
        <v>MED352.E</v>
      </c>
      <c r="B436" s="2">
        <f>MAX(Table32[Count])+ROWS(INDEX(Table33[Count],1):Table33[[#This Row],[Count]])</f>
        <v>352</v>
      </c>
      <c r="C436" s="5" t="s">
        <v>78</v>
      </c>
      <c r="D436" s="5" t="s">
        <v>924</v>
      </c>
      <c r="E436" s="2" t="s">
        <v>13</v>
      </c>
      <c r="N436" s="2" t="s">
        <v>127</v>
      </c>
      <c r="O436" s="2" t="s">
        <v>127</v>
      </c>
      <c r="P436" s="2" t="s">
        <v>127</v>
      </c>
    </row>
    <row r="437" spans="1:16" x14ac:dyDescent="0.25">
      <c r="A437" s="2" t="str">
        <f>"MED"&amp;TEXT(Table33[[#This Row],[Count]],"000")&amp;"."&amp;IF(Table33[[#This Row],[Category]]="Essential","E",IF(Table33[[#This Row],[Category]]="Discretionary","D","O"))</f>
        <v>MED353.E</v>
      </c>
      <c r="B437" s="2">
        <f>MAX(Table32[Count])+ROWS(INDEX(Table33[Count],1):Table33[[#This Row],[Count]])</f>
        <v>353</v>
      </c>
      <c r="C437" s="5" t="s">
        <v>78</v>
      </c>
      <c r="D437" s="5" t="s">
        <v>925</v>
      </c>
      <c r="E437" s="2" t="s">
        <v>13</v>
      </c>
      <c r="F437" s="2" t="s">
        <v>127</v>
      </c>
    </row>
    <row r="438" spans="1:16" x14ac:dyDescent="0.25">
      <c r="A438" s="2" t="str">
        <f>"MED"&amp;TEXT(Table33[[#This Row],[Count]],"000")&amp;"."&amp;IF(Table33[[#This Row],[Category]]="Essential","E",IF(Table33[[#This Row],[Category]]="Discretionary","D","O"))</f>
        <v>MED354.E</v>
      </c>
      <c r="B438" s="2">
        <f>MAX(Table32[Count])+ROWS(INDEX(Table33[Count],1):Table33[[#This Row],[Count]])</f>
        <v>354</v>
      </c>
      <c r="C438" s="5" t="s">
        <v>78</v>
      </c>
      <c r="D438" s="5" t="s">
        <v>926</v>
      </c>
      <c r="E438" s="2" t="s">
        <v>13</v>
      </c>
      <c r="F438" s="2" t="s">
        <v>127</v>
      </c>
    </row>
    <row r="439" spans="1:16" x14ac:dyDescent="0.25">
      <c r="A439" s="2" t="str">
        <f>"MED"&amp;TEXT(Table33[[#This Row],[Count]],"000")&amp;"."&amp;IF(Table33[[#This Row],[Category]]="Essential","E",IF(Table33[[#This Row],[Category]]="Discretionary","D","O"))</f>
        <v>MED355.E</v>
      </c>
      <c r="B439" s="2">
        <f>MAX(Table32[Count])+ROWS(INDEX(Table33[Count],1):Table33[[#This Row],[Count]])</f>
        <v>355</v>
      </c>
      <c r="C439" s="5" t="s">
        <v>78</v>
      </c>
      <c r="D439" s="5" t="s">
        <v>927</v>
      </c>
      <c r="E439" s="2" t="s">
        <v>13</v>
      </c>
      <c r="F439" s="2" t="s">
        <v>127</v>
      </c>
    </row>
    <row r="440" spans="1:16" ht="45" x14ac:dyDescent="0.25">
      <c r="A440" s="2" t="str">
        <f>"MED"&amp;TEXT(Table33[[#This Row],[Count]],"000")&amp;"."&amp;IF(Table33[[#This Row],[Category]]="Essential","E",IF(Table33[[#This Row],[Category]]="Discretionary","D","O"))</f>
        <v>MED356.E</v>
      </c>
      <c r="B440" s="2">
        <f>MAX(Table32[Count])+ROWS(INDEX(Table33[Count],1):Table33[[#This Row],[Count]])</f>
        <v>356</v>
      </c>
      <c r="C440" s="5" t="s">
        <v>78</v>
      </c>
      <c r="D440" s="5" t="s">
        <v>645</v>
      </c>
      <c r="E440" s="2" t="s">
        <v>13</v>
      </c>
      <c r="F440" s="2" t="s">
        <v>127</v>
      </c>
    </row>
    <row r="441" spans="1:16" x14ac:dyDescent="0.25">
      <c r="A441" s="2" t="str">
        <f>"MED"&amp;TEXT(Table33[[#This Row],[Count]],"000")&amp;"."&amp;IF(Table33[[#This Row],[Category]]="Essential","E",IF(Table33[[#This Row],[Category]]="Discretionary","D","O"))</f>
        <v>MED357.E</v>
      </c>
      <c r="B441" s="2">
        <f>MAX(Table32[Count])+ROWS(INDEX(Table33[Count],1):Table33[[#This Row],[Count]])</f>
        <v>357</v>
      </c>
      <c r="C441" s="5" t="s">
        <v>78</v>
      </c>
      <c r="D441" s="5" t="s">
        <v>928</v>
      </c>
      <c r="E441" s="2" t="s">
        <v>13</v>
      </c>
      <c r="F441" s="2" t="s">
        <v>127</v>
      </c>
    </row>
    <row r="442" spans="1:16" x14ac:dyDescent="0.25">
      <c r="A442" s="2" t="str">
        <f>"MED"&amp;TEXT(Table33[[#This Row],[Count]],"000")&amp;"."&amp;IF(Table33[[#This Row],[Category]]="Essential","E",IF(Table33[[#This Row],[Category]]="Discretionary","D","O"))</f>
        <v>MED358.E</v>
      </c>
      <c r="B442" s="2">
        <f>MAX(Table32[Count])+ROWS(INDEX(Table33[Count],1):Table33[[#This Row],[Count]])</f>
        <v>358</v>
      </c>
      <c r="C442" s="5" t="s">
        <v>78</v>
      </c>
      <c r="D442" s="5" t="s">
        <v>929</v>
      </c>
      <c r="E442" s="2" t="s">
        <v>13</v>
      </c>
      <c r="F442" s="2" t="s">
        <v>127</v>
      </c>
    </row>
    <row r="443" spans="1:16" x14ac:dyDescent="0.25">
      <c r="A443" s="2" t="str">
        <f>"MED"&amp;TEXT(Table33[[#This Row],[Count]],"000")&amp;"."&amp;IF(Table33[[#This Row],[Category]]="Essential","E",IF(Table33[[#This Row],[Category]]="Discretionary","D","O"))</f>
        <v>MED359.E</v>
      </c>
      <c r="B443" s="2">
        <f>MAX(Table32[Count])+ROWS(INDEX(Table33[Count],1):Table33[[#This Row],[Count]])</f>
        <v>359</v>
      </c>
      <c r="C443" s="5" t="s">
        <v>78</v>
      </c>
      <c r="D443" s="5" t="s">
        <v>930</v>
      </c>
      <c r="E443" s="2" t="s">
        <v>13</v>
      </c>
      <c r="F443" s="2" t="s">
        <v>127</v>
      </c>
    </row>
    <row r="444" spans="1:16" x14ac:dyDescent="0.25">
      <c r="A444" s="2" t="str">
        <f>"MED"&amp;TEXT(Table33[[#This Row],[Count]],"000")&amp;"."&amp;IF(Table33[[#This Row],[Category]]="Essential","E",IF(Table33[[#This Row],[Category]]="Discretionary","D","O"))</f>
        <v>MED360.E</v>
      </c>
      <c r="B444" s="2">
        <f>MAX(Table32[Count])+ROWS(INDEX(Table33[Count],1):Table33[[#This Row],[Count]])</f>
        <v>360</v>
      </c>
      <c r="C444" s="5" t="s">
        <v>78</v>
      </c>
      <c r="D444" s="5" t="s">
        <v>931</v>
      </c>
      <c r="E444" s="2" t="s">
        <v>13</v>
      </c>
      <c r="F444" s="2" t="s">
        <v>127</v>
      </c>
    </row>
    <row r="445" spans="1:16" x14ac:dyDescent="0.25">
      <c r="A445" s="2" t="str">
        <f>"MED"&amp;TEXT(Table33[[#This Row],[Count]],"000")&amp;"."&amp;IF(Table33[[#This Row],[Category]]="Essential","E",IF(Table33[[#This Row],[Category]]="Discretionary","D","O"))</f>
        <v>MED361.E</v>
      </c>
      <c r="B445" s="2">
        <f>MAX(Table32[Count])+ROWS(INDEX(Table33[Count],1):Table33[[#This Row],[Count]])</f>
        <v>361</v>
      </c>
      <c r="C445" s="5" t="s">
        <v>78</v>
      </c>
      <c r="D445" s="5" t="s">
        <v>932</v>
      </c>
      <c r="E445" s="2" t="s">
        <v>13</v>
      </c>
      <c r="L445" s="2" t="s">
        <v>127</v>
      </c>
      <c r="M445" s="2" t="s">
        <v>127</v>
      </c>
      <c r="N445" s="2" t="s">
        <v>127</v>
      </c>
      <c r="O445" s="2" t="s">
        <v>127</v>
      </c>
      <c r="P445" s="2" t="s">
        <v>127</v>
      </c>
    </row>
    <row r="446" spans="1:16" x14ac:dyDescent="0.25">
      <c r="A446" s="2" t="str">
        <f>"MED"&amp;TEXT(Table33[[#This Row],[Count]],"000")&amp;"."&amp;IF(Table33[[#This Row],[Category]]="Essential","E",IF(Table33[[#This Row],[Category]]="Discretionary","D","O"))</f>
        <v>MED362.E</v>
      </c>
      <c r="B446" s="2">
        <f>MAX(Table32[Count])+ROWS(INDEX(Table33[Count],1):Table33[[#This Row],[Count]])</f>
        <v>362</v>
      </c>
      <c r="C446" s="5" t="s">
        <v>78</v>
      </c>
      <c r="D446" s="5" t="s">
        <v>933</v>
      </c>
      <c r="E446" s="2" t="s">
        <v>13</v>
      </c>
      <c r="F446" s="2" t="s">
        <v>127</v>
      </c>
    </row>
    <row r="447" spans="1:16" x14ac:dyDescent="0.25">
      <c r="A447" s="2" t="str">
        <f>"MED"&amp;TEXT(Table33[[#This Row],[Count]],"000")&amp;"."&amp;IF(Table33[[#This Row],[Category]]="Essential","E",IF(Table33[[#This Row],[Category]]="Discretionary","D","O"))</f>
        <v>MED363.E</v>
      </c>
      <c r="B447" s="2">
        <f>MAX(Table32[Count])+ROWS(INDEX(Table33[Count],1):Table33[[#This Row],[Count]])</f>
        <v>363</v>
      </c>
      <c r="C447" s="5" t="s">
        <v>78</v>
      </c>
      <c r="D447" s="5" t="s">
        <v>934</v>
      </c>
      <c r="E447" s="2" t="s">
        <v>13</v>
      </c>
      <c r="F447" s="2" t="s">
        <v>127</v>
      </c>
    </row>
    <row r="448" spans="1:16" ht="30" x14ac:dyDescent="0.25">
      <c r="A448" s="2" t="str">
        <f>"MED"&amp;TEXT(Table33[[#This Row],[Count]],"000")&amp;"."&amp;IF(Table33[[#This Row],[Category]]="Essential","E",IF(Table33[[#This Row],[Category]]="Discretionary","D","O"))</f>
        <v>MED364.E</v>
      </c>
      <c r="B448" s="2">
        <f>MAX(Table32[Count])+ROWS(INDEX(Table33[Count],1):Table33[[#This Row],[Count]])</f>
        <v>364</v>
      </c>
      <c r="C448" s="5" t="s">
        <v>78</v>
      </c>
      <c r="D448" s="5" t="s">
        <v>935</v>
      </c>
      <c r="E448" s="2" t="s">
        <v>13</v>
      </c>
      <c r="N448" s="2" t="s">
        <v>127</v>
      </c>
      <c r="O448" s="2" t="s">
        <v>127</v>
      </c>
      <c r="P448" s="2" t="s">
        <v>127</v>
      </c>
    </row>
    <row r="449" spans="1:18" ht="45" x14ac:dyDescent="0.25">
      <c r="A449" s="2" t="str">
        <f>"MED"&amp;TEXT(Table33[[#This Row],[Count]],"000")&amp;"."&amp;IF(Table33[[#This Row],[Category]]="Essential","E",IF(Table33[[#This Row],[Category]]="Discretionary","D","O"))</f>
        <v>MED365.E</v>
      </c>
      <c r="B449" s="2">
        <f>MAX(Table32[Count])+ROWS(INDEX(Table33[Count],1):Table33[[#This Row],[Count]])</f>
        <v>365</v>
      </c>
      <c r="C449" s="5" t="s">
        <v>78</v>
      </c>
      <c r="D449" s="5" t="s">
        <v>936</v>
      </c>
      <c r="E449" s="2" t="s">
        <v>13</v>
      </c>
      <c r="F449" s="2" t="s">
        <v>127</v>
      </c>
    </row>
    <row r="450" spans="1:18" x14ac:dyDescent="0.25">
      <c r="A450" s="2" t="str">
        <f>"MED"&amp;TEXT(Table33[[#This Row],[Count]],"000")&amp;"."&amp;IF(Table33[[#This Row],[Category]]="Essential","E",IF(Table33[[#This Row],[Category]]="Discretionary","D","O"))</f>
        <v>MED366.E</v>
      </c>
      <c r="B450" s="2">
        <f>MAX(Table32[Count])+ROWS(INDEX(Table33[Count],1):Table33[[#This Row],[Count]])</f>
        <v>366</v>
      </c>
      <c r="C450" s="5" t="s">
        <v>78</v>
      </c>
      <c r="D450" s="5" t="s">
        <v>937</v>
      </c>
      <c r="E450" s="2" t="s">
        <v>13</v>
      </c>
      <c r="F450" s="2" t="s">
        <v>127</v>
      </c>
    </row>
    <row r="451" spans="1:18" ht="30" x14ac:dyDescent="0.25">
      <c r="A451" s="2" t="str">
        <f>"MED"&amp;TEXT(Table33[[#This Row],[Count]],"000")&amp;"."&amp;IF(Table33[[#This Row],[Category]]="Essential","E",IF(Table33[[#This Row],[Category]]="Discretionary","D","O"))</f>
        <v>MED367.E</v>
      </c>
      <c r="B451" s="2">
        <f>MAX(Table32[Count])+ROWS(INDEX(Table33[Count],1):Table33[[#This Row],[Count]])</f>
        <v>367</v>
      </c>
      <c r="C451" s="5" t="s">
        <v>78</v>
      </c>
      <c r="D451" s="5" t="s">
        <v>938</v>
      </c>
      <c r="E451" s="2" t="s">
        <v>13</v>
      </c>
      <c r="F451" s="2" t="s">
        <v>127</v>
      </c>
    </row>
    <row r="452" spans="1:18" x14ac:dyDescent="0.25">
      <c r="A452" s="2" t="str">
        <f>"MED"&amp;TEXT(Table33[[#This Row],[Count]],"000")&amp;"."&amp;IF(Table33[[#This Row],[Category]]="Essential","E",IF(Table33[[#This Row],[Category]]="Discretionary","D","O"))</f>
        <v>MED368.E</v>
      </c>
      <c r="B452" s="2">
        <f>MAX(Table32[Count])+ROWS(INDEX(Table33[Count],1):Table33[[#This Row],[Count]])</f>
        <v>368</v>
      </c>
      <c r="C452" s="5" t="s">
        <v>78</v>
      </c>
      <c r="D452" s="5" t="s">
        <v>939</v>
      </c>
      <c r="E452" s="2" t="s">
        <v>13</v>
      </c>
      <c r="F452" s="2" t="s">
        <v>127</v>
      </c>
    </row>
    <row r="453" spans="1:18" x14ac:dyDescent="0.25">
      <c r="A453" s="2" t="str">
        <f>"MED"&amp;TEXT(Table33[[#This Row],[Count]],"000")&amp;"."&amp;IF(Table33[[#This Row],[Category]]="Essential","E",IF(Table33[[#This Row],[Category]]="Discretionary","D","O"))</f>
        <v>MED369.E</v>
      </c>
      <c r="B453" s="2">
        <f>MAX(Table32[Count])+ROWS(INDEX(Table33[Count],1):Table33[[#This Row],[Count]])</f>
        <v>369</v>
      </c>
      <c r="C453" s="5" t="s">
        <v>78</v>
      </c>
      <c r="D453" s="5" t="s">
        <v>940</v>
      </c>
      <c r="E453" s="2" t="s">
        <v>13</v>
      </c>
      <c r="F453" s="2" t="s">
        <v>127</v>
      </c>
    </row>
    <row r="454" spans="1:18" ht="30" x14ac:dyDescent="0.25">
      <c r="A454" s="2" t="str">
        <f>"MED"&amp;TEXT(Table33[[#This Row],[Count]],"000")&amp;"."&amp;IF(Table33[[#This Row],[Category]]="Essential","E",IF(Table33[[#This Row],[Category]]="Discretionary","D","O"))</f>
        <v>MED370.E</v>
      </c>
      <c r="B454" s="2">
        <f>MAX(Table32[Count])+ROWS(INDEX(Table33[Count],1):Table33[[#This Row],[Count]])</f>
        <v>370</v>
      </c>
      <c r="C454" s="5" t="s">
        <v>78</v>
      </c>
      <c r="D454" s="5" t="s">
        <v>941</v>
      </c>
      <c r="E454" s="2" t="s">
        <v>13</v>
      </c>
      <c r="F454" s="2" t="s">
        <v>127</v>
      </c>
    </row>
    <row r="455" spans="1:18" x14ac:dyDescent="0.25">
      <c r="A455" s="2" t="str">
        <f>"MED"&amp;TEXT(Table33[[#This Row],[Count]],"000")&amp;"."&amp;IF(Table33[[#This Row],[Category]]="Essential","E",IF(Table33[[#This Row],[Category]]="Discretionary","D","O"))</f>
        <v>MED371.E</v>
      </c>
      <c r="B455" s="2">
        <f>MAX(Table32[Count])+ROWS(INDEX(Table33[Count],1):Table33[[#This Row],[Count]])</f>
        <v>371</v>
      </c>
      <c r="C455" s="5" t="s">
        <v>78</v>
      </c>
      <c r="D455" s="5" t="s">
        <v>942</v>
      </c>
      <c r="E455" s="2" t="s">
        <v>13</v>
      </c>
      <c r="F455" s="2" t="s">
        <v>127</v>
      </c>
    </row>
    <row r="456" spans="1:18" x14ac:dyDescent="0.25">
      <c r="A456" s="2" t="str">
        <f>"MED"&amp;TEXT(Table33[[#This Row],[Count]],"000")&amp;"."&amp;IF(Table33[[#This Row],[Category]]="Essential","E",IF(Table33[[#This Row],[Category]]="Discretionary","D","O"))</f>
        <v>MED372.E</v>
      </c>
      <c r="B456" s="2">
        <f>MAX(Table32[Count])+ROWS(INDEX(Table33[Count],1):Table33[[#This Row],[Count]])</f>
        <v>372</v>
      </c>
      <c r="C456" s="5" t="s">
        <v>78</v>
      </c>
      <c r="D456" s="5" t="s">
        <v>943</v>
      </c>
      <c r="E456" s="2" t="s">
        <v>13</v>
      </c>
      <c r="L456" s="2" t="s">
        <v>127</v>
      </c>
      <c r="M456" s="2" t="s">
        <v>127</v>
      </c>
      <c r="N456" s="2" t="s">
        <v>127</v>
      </c>
      <c r="O456" s="2" t="s">
        <v>127</v>
      </c>
      <c r="P456" s="2" t="s">
        <v>127</v>
      </c>
    </row>
    <row r="457" spans="1:18" ht="30" x14ac:dyDescent="0.25">
      <c r="A457" s="2" t="str">
        <f>"MED"&amp;TEXT(Table33[[#This Row],[Count]],"000")&amp;"."&amp;IF(Table33[[#This Row],[Category]]="Essential","E",IF(Table33[[#This Row],[Category]]="Discretionary","D","O"))</f>
        <v>MED373.E</v>
      </c>
      <c r="B457" s="2">
        <f>MAX(Table32[Count])+ROWS(INDEX(Table33[Count],1):Table33[[#This Row],[Count]])</f>
        <v>373</v>
      </c>
      <c r="C457" s="5" t="s">
        <v>78</v>
      </c>
      <c r="D457" s="5" t="s">
        <v>944</v>
      </c>
      <c r="E457" s="2" t="s">
        <v>13</v>
      </c>
      <c r="F457" s="2" t="s">
        <v>127</v>
      </c>
    </row>
    <row r="458" spans="1:18" ht="45" x14ac:dyDescent="0.25">
      <c r="A458" s="2" t="str">
        <f>"MED"&amp;TEXT(Table33[[#This Row],[Count]],"000")&amp;"."&amp;IF(Table33[[#This Row],[Category]]="Essential","E",IF(Table33[[#This Row],[Category]]="Discretionary","D","O"))</f>
        <v>MED374.E</v>
      </c>
      <c r="B458" s="2">
        <f>MAX(Table32[Count])+ROWS(INDEX(Table33[Count],1):Table33[[#This Row],[Count]])</f>
        <v>374</v>
      </c>
      <c r="C458" s="5" t="s">
        <v>78</v>
      </c>
      <c r="D458" s="5" t="s">
        <v>945</v>
      </c>
      <c r="E458" s="2" t="s">
        <v>13</v>
      </c>
      <c r="N458" s="2" t="s">
        <v>127</v>
      </c>
      <c r="O458" s="2" t="s">
        <v>127</v>
      </c>
      <c r="P458" s="2" t="s">
        <v>127</v>
      </c>
    </row>
    <row r="459" spans="1:18" x14ac:dyDescent="0.25">
      <c r="A459" s="2" t="str">
        <f>"MED"&amp;TEXT(Table33[[#This Row],[Count]],"000")&amp;"."&amp;IF(Table33[[#This Row],[Category]]="Essential","E",IF(Table33[[#This Row],[Category]]="Discretionary","D","O"))</f>
        <v>MED375.E</v>
      </c>
      <c r="B459" s="2">
        <f>MAX(Table32[Count])+ROWS(INDEX(Table33[Count],1):Table33[[#This Row],[Count]])</f>
        <v>375</v>
      </c>
      <c r="C459" s="5" t="s">
        <v>78</v>
      </c>
      <c r="D459" s="5" t="s">
        <v>946</v>
      </c>
      <c r="E459" s="2" t="s">
        <v>13</v>
      </c>
      <c r="F459" s="2" t="s">
        <v>127</v>
      </c>
    </row>
    <row r="460" spans="1:18" x14ac:dyDescent="0.25">
      <c r="A460" s="2" t="str">
        <f>"MED"&amp;TEXT(Table33[[#This Row],[Count]],"000")&amp;"."&amp;IF(Table33[[#This Row],[Category]]="Essential","E",IF(Table33[[#This Row],[Category]]="Discretionary","D","O"))</f>
        <v>MED376.E</v>
      </c>
      <c r="B460" s="2">
        <f>MAX(Table32[Count])+ROWS(INDEX(Table33[Count],1):Table33[[#This Row],[Count]])</f>
        <v>376</v>
      </c>
      <c r="C460" s="5" t="s">
        <v>78</v>
      </c>
      <c r="D460" s="5" t="s">
        <v>662</v>
      </c>
      <c r="E460" s="2" t="s">
        <v>13</v>
      </c>
      <c r="F460" s="2" t="s">
        <v>127</v>
      </c>
    </row>
    <row r="461" spans="1:18" x14ac:dyDescent="0.25">
      <c r="A461" s="2" t="str">
        <f>"MED"&amp;TEXT(Table33[[#This Row],[Count]],"000")&amp;"."&amp;IF(Table33[[#This Row],[Category]]="Essential","E",IF(Table33[[#This Row],[Category]]="Discretionary","D","O"))</f>
        <v>MED377.E</v>
      </c>
      <c r="B461" s="2">
        <f>MAX(Table32[Count])+ROWS(INDEX(Table33[Count],1):Table33[[#This Row],[Count]])</f>
        <v>377</v>
      </c>
      <c r="C461" s="5" t="s">
        <v>78</v>
      </c>
      <c r="D461" s="5" t="s">
        <v>947</v>
      </c>
      <c r="E461" s="2" t="s">
        <v>13</v>
      </c>
      <c r="F461" s="2" t="s">
        <v>127</v>
      </c>
    </row>
    <row r="462" spans="1:18" x14ac:dyDescent="0.25">
      <c r="A462" s="2" t="str">
        <f>"MED"&amp;TEXT(Table33[[#This Row],[Count]],"000")&amp;"."&amp;IF(Table33[[#This Row],[Category]]="Essential","E",IF(Table33[[#This Row],[Category]]="Discretionary","D","O"))</f>
        <v>MED378.E</v>
      </c>
      <c r="B462" s="2">
        <f>MAX(Table32[Count])+ROWS(INDEX(Table33[Count],1):Table33[[#This Row],[Count]])</f>
        <v>378</v>
      </c>
      <c r="C462" s="5" t="s">
        <v>78</v>
      </c>
      <c r="D462" s="5" t="s">
        <v>948</v>
      </c>
      <c r="E462" s="2" t="s">
        <v>13</v>
      </c>
      <c r="F462" s="2" t="s">
        <v>127</v>
      </c>
      <c r="R462" s="5" t="s">
        <v>949</v>
      </c>
    </row>
    <row r="463" spans="1:18" ht="30" x14ac:dyDescent="0.25">
      <c r="A463" s="2" t="str">
        <f>"MED"&amp;TEXT(Table33[[#This Row],[Count]],"000")&amp;"."&amp;IF(Table33[[#This Row],[Category]]="Essential","E",IF(Table33[[#This Row],[Category]]="Discretionary","D","O"))</f>
        <v>MED379.E</v>
      </c>
      <c r="B463" s="2">
        <f>MAX(Table32[Count])+ROWS(INDEX(Table33[Count],1):Table33[[#This Row],[Count]])</f>
        <v>379</v>
      </c>
      <c r="C463" s="5" t="s">
        <v>78</v>
      </c>
      <c r="D463" s="5" t="s">
        <v>950</v>
      </c>
      <c r="E463" s="2" t="s">
        <v>13</v>
      </c>
      <c r="F463" s="2" t="s">
        <v>127</v>
      </c>
    </row>
    <row r="464" spans="1:18" x14ac:dyDescent="0.25">
      <c r="A464" s="2" t="str">
        <f>"MED"&amp;TEXT(Table33[[#This Row],[Count]],"000")&amp;"."&amp;IF(Table33[[#This Row],[Category]]="Essential","E",IF(Table33[[#This Row],[Category]]="Discretionary","D","O"))</f>
        <v>MED380.E</v>
      </c>
      <c r="B464" s="2">
        <f>MAX(Table32[Count])+ROWS(INDEX(Table33[Count],1):Table33[[#This Row],[Count]])</f>
        <v>380</v>
      </c>
      <c r="C464" s="5" t="s">
        <v>78</v>
      </c>
      <c r="D464" s="5" t="s">
        <v>951</v>
      </c>
      <c r="E464" s="2" t="s">
        <v>13</v>
      </c>
      <c r="F464" s="2" t="s">
        <v>127</v>
      </c>
    </row>
    <row r="465" spans="1:18" ht="60" x14ac:dyDescent="0.25">
      <c r="A465" s="2" t="str">
        <f>"MED"&amp;TEXT(Table33[[#This Row],[Count]],"000")&amp;"."&amp;IF(Table33[[#This Row],[Category]]="Essential","E",IF(Table33[[#This Row],[Category]]="Discretionary","D","O"))</f>
        <v>MED381.E</v>
      </c>
      <c r="B465" s="2">
        <f>MAX(Table32[Count])+ROWS(INDEX(Table33[Count],1):Table33[[#This Row],[Count]])</f>
        <v>381</v>
      </c>
      <c r="C465" s="5" t="s">
        <v>78</v>
      </c>
      <c r="D465" s="5" t="s">
        <v>952</v>
      </c>
      <c r="E465" s="2" t="s">
        <v>13</v>
      </c>
      <c r="F465" s="2" t="s">
        <v>127</v>
      </c>
    </row>
    <row r="466" spans="1:18" ht="30" x14ac:dyDescent="0.25">
      <c r="A466" s="2" t="str">
        <f>"MED"&amp;TEXT(Table33[[#This Row],[Count]],"000")&amp;"."&amp;IF(Table33[[#This Row],[Category]]="Essential","E",IF(Table33[[#This Row],[Category]]="Discretionary","D","O"))</f>
        <v>MED382.E</v>
      </c>
      <c r="B466" s="2">
        <f>MAX(Table32[Count])+ROWS(INDEX(Table33[Count],1):Table33[[#This Row],[Count]])</f>
        <v>382</v>
      </c>
      <c r="C466" s="5" t="s">
        <v>78</v>
      </c>
      <c r="D466" s="5" t="s">
        <v>671</v>
      </c>
      <c r="E466" s="2" t="s">
        <v>13</v>
      </c>
      <c r="F466" s="2" t="s">
        <v>127</v>
      </c>
    </row>
    <row r="467" spans="1:18" x14ac:dyDescent="0.25">
      <c r="A467" s="2" t="str">
        <f>"MED"&amp;TEXT(Table33[[#This Row],[Count]],"000")&amp;"."&amp;IF(Table33[[#This Row],[Category]]="Essential","E",IF(Table33[[#This Row],[Category]]="Discretionary","D","O"))</f>
        <v>MED383.E</v>
      </c>
      <c r="B467" s="2">
        <f>MAX(Table32[Count])+ROWS(INDEX(Table33[Count],1):Table33[[#This Row],[Count]])</f>
        <v>383</v>
      </c>
      <c r="C467" s="5" t="s">
        <v>78</v>
      </c>
      <c r="D467" s="5" t="s">
        <v>953</v>
      </c>
      <c r="E467" s="2" t="s">
        <v>13</v>
      </c>
      <c r="N467" s="2" t="s">
        <v>127</v>
      </c>
      <c r="O467" s="2" t="s">
        <v>127</v>
      </c>
      <c r="P467" s="2" t="s">
        <v>127</v>
      </c>
    </row>
    <row r="468" spans="1:18" x14ac:dyDescent="0.25">
      <c r="A468" s="2" t="str">
        <f>"MED"&amp;TEXT(Table33[[#This Row],[Count]],"000")&amp;"."&amp;IF(Table33[[#This Row],[Category]]="Essential","E",IF(Table33[[#This Row],[Category]]="Discretionary","D","O"))</f>
        <v>MED384.E</v>
      </c>
      <c r="B468" s="2">
        <f>MAX(Table32[Count])+ROWS(INDEX(Table33[Count],1):Table33[[#This Row],[Count]])</f>
        <v>384</v>
      </c>
      <c r="C468" s="5" t="s">
        <v>78</v>
      </c>
      <c r="D468" s="5" t="s">
        <v>954</v>
      </c>
      <c r="E468" s="2" t="s">
        <v>13</v>
      </c>
      <c r="F468" s="2" t="s">
        <v>127</v>
      </c>
    </row>
    <row r="469" spans="1:18" ht="45" x14ac:dyDescent="0.25">
      <c r="A469" s="2" t="str">
        <f>"MED"&amp;TEXT(Table33[[#This Row],[Count]],"000")&amp;"."&amp;IF(Table33[[#This Row],[Category]]="Essential","E",IF(Table33[[#This Row],[Category]]="Discretionary","D","O"))</f>
        <v>MED385.E</v>
      </c>
      <c r="B469" s="2">
        <f>MAX(Table32[Count])+ROWS(INDEX(Table33[Count],1):Table33[[#This Row],[Count]])</f>
        <v>385</v>
      </c>
      <c r="C469" s="5" t="s">
        <v>78</v>
      </c>
      <c r="D469" s="5" t="s">
        <v>955</v>
      </c>
      <c r="E469" s="2" t="s">
        <v>13</v>
      </c>
      <c r="F469" s="2" t="s">
        <v>127</v>
      </c>
      <c r="R469" s="5" t="s">
        <v>956</v>
      </c>
    </row>
    <row r="470" spans="1:18" ht="30" x14ac:dyDescent="0.25">
      <c r="A470" s="2" t="str">
        <f>"MED"&amp;TEXT(Table33[[#This Row],[Count]],"000")&amp;"."&amp;IF(Table33[[#This Row],[Category]]="Cat 1","1",IF(Table33[[#This Row],[Category]]="Cat 2","2",IF(Table33[[#This Row],[Category]]="Cat 3","3","O")))</f>
        <v>MED386.O</v>
      </c>
      <c r="B470" s="2">
        <f>MAX(Table32[Count])+ROWS(INDEX(Table33[Count],1):Table33[[#This Row],[Count]])</f>
        <v>386</v>
      </c>
      <c r="C470" s="5" t="s">
        <v>78</v>
      </c>
      <c r="D470" s="5" t="s">
        <v>636</v>
      </c>
      <c r="E470" s="2" t="s">
        <v>13</v>
      </c>
      <c r="F470" s="2" t="s">
        <v>127</v>
      </c>
    </row>
    <row r="472" spans="1:18" x14ac:dyDescent="0.25">
      <c r="A472" s="58" t="s">
        <v>81</v>
      </c>
      <c r="B472" s="58"/>
      <c r="C472" s="58"/>
      <c r="D472" s="58"/>
      <c r="E472" s="58"/>
      <c r="F472" s="58"/>
      <c r="G472" s="58"/>
      <c r="H472" s="58"/>
      <c r="I472" s="58"/>
      <c r="J472" s="58"/>
      <c r="K472" s="58"/>
      <c r="L472" s="58"/>
      <c r="M472" s="58"/>
      <c r="N472" s="58"/>
      <c r="O472" s="58"/>
      <c r="P472" s="58"/>
      <c r="Q472" s="58"/>
      <c r="R472" s="58"/>
    </row>
    <row r="474" spans="1:18" x14ac:dyDescent="0.25">
      <c r="A474" s="6" t="s">
        <v>120</v>
      </c>
      <c r="B474" s="6" t="s">
        <v>121</v>
      </c>
      <c r="C474" s="7" t="s">
        <v>122</v>
      </c>
      <c r="D474" s="7" t="s">
        <v>123</v>
      </c>
      <c r="E474" s="6" t="s">
        <v>8</v>
      </c>
      <c r="F474" s="6" t="s">
        <v>124</v>
      </c>
      <c r="G474" s="6" t="s">
        <v>154</v>
      </c>
      <c r="H474" s="6" t="s">
        <v>155</v>
      </c>
      <c r="I474" s="6" t="s">
        <v>156</v>
      </c>
      <c r="J474" s="6" t="s">
        <v>157</v>
      </c>
      <c r="K474" s="6" t="s">
        <v>158</v>
      </c>
      <c r="L474" s="6" t="s">
        <v>159</v>
      </c>
      <c r="M474" s="6" t="s">
        <v>160</v>
      </c>
      <c r="N474" s="6" t="s">
        <v>161</v>
      </c>
      <c r="O474" s="6" t="s">
        <v>162</v>
      </c>
      <c r="P474" s="6" t="s">
        <v>163</v>
      </c>
      <c r="Q474" s="7" t="s">
        <v>164</v>
      </c>
      <c r="R474" s="7" t="s">
        <v>125</v>
      </c>
    </row>
    <row r="475" spans="1:18" ht="30" x14ac:dyDescent="0.25">
      <c r="A475" s="2" t="str">
        <f>"MED"&amp;TEXT(Table34[[#This Row],[Count]],"000")&amp;"."&amp;IF(Table34[[#This Row],[Category]]="Essential","E",IF(Table34[[#This Row],[Category]]="Discretionary","D","O"))</f>
        <v>MED387.E</v>
      </c>
      <c r="B475" s="2">
        <f>MAX(Table33[Count])+ROWS(INDEX(Table34[Count],1):Table34[[#This Row],[Count]])</f>
        <v>387</v>
      </c>
      <c r="C475" s="5" t="s">
        <v>81</v>
      </c>
      <c r="D475" s="5" t="s">
        <v>957</v>
      </c>
      <c r="E475" s="2" t="s">
        <v>13</v>
      </c>
      <c r="F475" s="2" t="s">
        <v>127</v>
      </c>
      <c r="R475" s="5" t="s">
        <v>958</v>
      </c>
    </row>
    <row r="476" spans="1:18" ht="30" x14ac:dyDescent="0.25">
      <c r="A476" s="2" t="str">
        <f>"MED"&amp;TEXT(Table34[[#This Row],[Count]],"000")&amp;"."&amp;IF(Table34[[#This Row],[Category]]="Essential","E",IF(Table34[[#This Row],[Category]]="Discretionary","D","O"))</f>
        <v>MED388.E</v>
      </c>
      <c r="B476" s="2">
        <f>MAX(Table33[Count])+ROWS(INDEX(Table34[Count],1):Table34[[#This Row],[Count]])</f>
        <v>388</v>
      </c>
      <c r="C476" s="5" t="s">
        <v>81</v>
      </c>
      <c r="D476" s="5" t="s">
        <v>959</v>
      </c>
      <c r="E476" s="2" t="s">
        <v>13</v>
      </c>
      <c r="F476" s="2" t="s">
        <v>127</v>
      </c>
      <c r="R476" s="5" t="s">
        <v>958</v>
      </c>
    </row>
    <row r="477" spans="1:18" ht="30" x14ac:dyDescent="0.25">
      <c r="A477" s="2" t="str">
        <f>"MED"&amp;TEXT(Table34[[#This Row],[Count]],"000")&amp;"."&amp;IF(Table34[[#This Row],[Category]]="Essential","E",IF(Table34[[#This Row],[Category]]="Discretionary","D","O"))</f>
        <v>MED389.E</v>
      </c>
      <c r="B477" s="2">
        <f>MAX(Table33[Count])+ROWS(INDEX(Table34[Count],1):Table34[[#This Row],[Count]])</f>
        <v>389</v>
      </c>
      <c r="C477" s="5" t="s">
        <v>81</v>
      </c>
      <c r="D477" s="5" t="s">
        <v>960</v>
      </c>
      <c r="E477" s="2" t="s">
        <v>13</v>
      </c>
      <c r="F477" s="2" t="s">
        <v>127</v>
      </c>
      <c r="R477" s="5" t="s">
        <v>958</v>
      </c>
    </row>
    <row r="478" spans="1:18" x14ac:dyDescent="0.25">
      <c r="A478" s="2" t="str">
        <f>"MED"&amp;TEXT(Table34[[#This Row],[Count]],"000")&amp;"."&amp;IF(Table34[[#This Row],[Category]]="Essential","E",IF(Table34[[#This Row],[Category]]="Discretionary","D","O"))</f>
        <v>MED390.E</v>
      </c>
      <c r="B478" s="2">
        <f>MAX(Table33[Count])+ROWS(INDEX(Table34[Count],1):Table34[[#This Row],[Count]])</f>
        <v>390</v>
      </c>
      <c r="C478" s="5" t="s">
        <v>81</v>
      </c>
      <c r="D478" s="5" t="s">
        <v>961</v>
      </c>
      <c r="E478" s="2" t="s">
        <v>13</v>
      </c>
      <c r="F478" s="2" t="s">
        <v>127</v>
      </c>
      <c r="R478" s="5" t="s">
        <v>958</v>
      </c>
    </row>
    <row r="479" spans="1:18" x14ac:dyDescent="0.25">
      <c r="A479" s="2" t="str">
        <f>"MED"&amp;TEXT(Table34[[#This Row],[Count]],"000")&amp;"."&amp;IF(Table34[[#This Row],[Category]]="Essential","E",IF(Table34[[#This Row],[Category]]="Discretionary","D","O"))</f>
        <v>MED391.E</v>
      </c>
      <c r="B479" s="2">
        <f>MAX(Table33[Count])+ROWS(INDEX(Table34[Count],1):Table34[[#This Row],[Count]])</f>
        <v>391</v>
      </c>
      <c r="C479" s="5" t="s">
        <v>81</v>
      </c>
      <c r="D479" s="5" t="s">
        <v>962</v>
      </c>
      <c r="E479" s="2" t="s">
        <v>13</v>
      </c>
      <c r="F479" s="2" t="s">
        <v>127</v>
      </c>
      <c r="R479" s="5" t="s">
        <v>958</v>
      </c>
    </row>
    <row r="480" spans="1:18" x14ac:dyDescent="0.25">
      <c r="A480" s="2" t="str">
        <f>"MED"&amp;TEXT(Table34[[#This Row],[Count]],"000")&amp;"."&amp;IF(Table34[[#This Row],[Category]]="Essential","E",IF(Table34[[#This Row],[Category]]="Discretionary","D","O"))</f>
        <v>MED392.E</v>
      </c>
      <c r="B480" s="2">
        <f>MAX(Table33[Count])+ROWS(INDEX(Table34[Count],1):Table34[[#This Row],[Count]])</f>
        <v>392</v>
      </c>
      <c r="C480" s="5" t="s">
        <v>81</v>
      </c>
      <c r="D480" s="5" t="s">
        <v>963</v>
      </c>
      <c r="E480" s="2" t="s">
        <v>13</v>
      </c>
      <c r="L480" s="2" t="s">
        <v>127</v>
      </c>
      <c r="M480" s="2" t="s">
        <v>127</v>
      </c>
      <c r="N480" s="2" t="s">
        <v>127</v>
      </c>
      <c r="O480" s="2" t="s">
        <v>127</v>
      </c>
      <c r="P480" s="2" t="s">
        <v>127</v>
      </c>
    </row>
    <row r="481" spans="1:18" x14ac:dyDescent="0.25">
      <c r="A481" s="2" t="str">
        <f>"MED"&amp;TEXT(Table34[[#This Row],[Count]],"000")&amp;"."&amp;IF(Table34[[#This Row],[Category]]="Essential","E",IF(Table34[[#This Row],[Category]]="Discretionary","D","O"))</f>
        <v>MED393.E</v>
      </c>
      <c r="B481" s="2">
        <f>MAX(Table33[Count])+ROWS(INDEX(Table34[Count],1):Table34[[#This Row],[Count]])</f>
        <v>393</v>
      </c>
      <c r="C481" s="5" t="s">
        <v>81</v>
      </c>
      <c r="D481" s="5" t="s">
        <v>964</v>
      </c>
      <c r="E481" s="2" t="s">
        <v>13</v>
      </c>
      <c r="L481" s="2" t="s">
        <v>127</v>
      </c>
      <c r="M481" s="2" t="s">
        <v>127</v>
      </c>
      <c r="N481" s="2" t="s">
        <v>127</v>
      </c>
      <c r="O481" s="2" t="s">
        <v>127</v>
      </c>
      <c r="P481" s="2" t="s">
        <v>127</v>
      </c>
    </row>
    <row r="482" spans="1:18" x14ac:dyDescent="0.25">
      <c r="A482" s="2" t="str">
        <f>"MED"&amp;TEXT(Table34[[#This Row],[Count]],"000")&amp;"."&amp;IF(Table34[[#This Row],[Category]]="Essential","E",IF(Table34[[#This Row],[Category]]="Discretionary","D","O"))</f>
        <v>MED394.E</v>
      </c>
      <c r="B482" s="2">
        <f>MAX(Table33[Count])+ROWS(INDEX(Table34[Count],1):Table34[[#This Row],[Count]])</f>
        <v>394</v>
      </c>
      <c r="C482" s="5" t="s">
        <v>81</v>
      </c>
      <c r="D482" s="5" t="s">
        <v>965</v>
      </c>
      <c r="E482" s="2" t="s">
        <v>13</v>
      </c>
      <c r="F482" s="2" t="s">
        <v>127</v>
      </c>
    </row>
    <row r="483" spans="1:18" ht="30" x14ac:dyDescent="0.25">
      <c r="A483" s="2" t="str">
        <f>"MED"&amp;TEXT(Table34[[#This Row],[Count]],"000")&amp;"."&amp;IF(Table34[[#This Row],[Category]]="Essential","E",IF(Table34[[#This Row],[Category]]="Discretionary","D","O"))</f>
        <v>MED395.E</v>
      </c>
      <c r="B483" s="2">
        <f>MAX(Table33[Count])+ROWS(INDEX(Table34[Count],1):Table34[[#This Row],[Count]])</f>
        <v>395</v>
      </c>
      <c r="C483" s="5" t="s">
        <v>81</v>
      </c>
      <c r="D483" s="5" t="s">
        <v>966</v>
      </c>
      <c r="E483" s="2" t="s">
        <v>13</v>
      </c>
      <c r="F483" s="2" t="s">
        <v>127</v>
      </c>
    </row>
    <row r="484" spans="1:18" x14ac:dyDescent="0.25">
      <c r="A484" s="2" t="str">
        <f>"MED"&amp;TEXT(Table34[[#This Row],[Count]],"000")&amp;"."&amp;IF(Table34[[#This Row],[Category]]="Essential","E",IF(Table34[[#This Row],[Category]]="Discretionary","D","O"))</f>
        <v>MED396.E</v>
      </c>
      <c r="B484" s="2">
        <f>MAX(Table33[Count])+ROWS(INDEX(Table34[Count],1):Table34[[#This Row],[Count]])</f>
        <v>396</v>
      </c>
      <c r="C484" s="5" t="s">
        <v>81</v>
      </c>
      <c r="D484" s="5" t="s">
        <v>967</v>
      </c>
      <c r="E484" s="2" t="s">
        <v>13</v>
      </c>
      <c r="F484" s="2" t="s">
        <v>127</v>
      </c>
      <c r="R484" s="5" t="s">
        <v>958</v>
      </c>
    </row>
    <row r="485" spans="1:18" x14ac:dyDescent="0.25">
      <c r="A485" s="2" t="str">
        <f>"MED"&amp;TEXT(Table34[[#This Row],[Count]],"000")&amp;"."&amp;IF(Table34[[#This Row],[Category]]="Essential","E",IF(Table34[[#This Row],[Category]]="Discretionary","D","O"))</f>
        <v>MED397.E</v>
      </c>
      <c r="B485" s="2">
        <f>MAX(Table33[Count])+ROWS(INDEX(Table34[Count],1):Table34[[#This Row],[Count]])</f>
        <v>397</v>
      </c>
      <c r="C485" s="5" t="s">
        <v>81</v>
      </c>
      <c r="D485" s="5" t="s">
        <v>968</v>
      </c>
      <c r="E485" s="2" t="s">
        <v>13</v>
      </c>
      <c r="F485" s="2" t="s">
        <v>127</v>
      </c>
    </row>
    <row r="487" spans="1:18" x14ac:dyDescent="0.25">
      <c r="A487" s="58" t="s">
        <v>83</v>
      </c>
      <c r="B487" s="58"/>
      <c r="C487" s="58"/>
      <c r="D487" s="58"/>
      <c r="E487" s="58"/>
      <c r="F487" s="58"/>
      <c r="G487" s="58"/>
      <c r="H487" s="58"/>
      <c r="I487" s="58"/>
      <c r="J487" s="58"/>
      <c r="K487" s="58"/>
      <c r="L487" s="58"/>
      <c r="M487" s="58"/>
      <c r="N487" s="58"/>
      <c r="O487" s="58"/>
      <c r="P487" s="58"/>
      <c r="Q487" s="58"/>
      <c r="R487" s="58"/>
    </row>
    <row r="489" spans="1:18" x14ac:dyDescent="0.25">
      <c r="A489" s="6" t="s">
        <v>120</v>
      </c>
      <c r="B489" s="6" t="s">
        <v>121</v>
      </c>
      <c r="C489" s="7" t="s">
        <v>122</v>
      </c>
      <c r="D489" s="7" t="s">
        <v>123</v>
      </c>
      <c r="E489" s="6" t="s">
        <v>8</v>
      </c>
      <c r="F489" s="6" t="s">
        <v>124</v>
      </c>
      <c r="G489" s="6" t="s">
        <v>154</v>
      </c>
      <c r="H489" s="6" t="s">
        <v>155</v>
      </c>
      <c r="I489" s="6" t="s">
        <v>156</v>
      </c>
      <c r="J489" s="6" t="s">
        <v>157</v>
      </c>
      <c r="K489" s="6" t="s">
        <v>158</v>
      </c>
      <c r="L489" s="6" t="s">
        <v>159</v>
      </c>
      <c r="M489" s="6" t="s">
        <v>160</v>
      </c>
      <c r="N489" s="6" t="s">
        <v>161</v>
      </c>
      <c r="O489" s="6" t="s">
        <v>162</v>
      </c>
      <c r="P489" s="6" t="s">
        <v>163</v>
      </c>
      <c r="Q489" s="7" t="s">
        <v>164</v>
      </c>
      <c r="R489" s="7" t="s">
        <v>125</v>
      </c>
    </row>
    <row r="490" spans="1:18" ht="30" x14ac:dyDescent="0.25">
      <c r="A490" s="2" t="str">
        <f>"MED"&amp;TEXT(Table35[[#This Row],[Count]],"000")&amp;"."&amp;IF(Table35[[#This Row],[Category]]="Essential","E",IF(Table35[[#This Row],[Category]]="Discretionary","D","O"))</f>
        <v>MED398.E</v>
      </c>
      <c r="B490" s="2">
        <f>MAX(Table34[Count])+ROWS(INDEX(Table35[Count],1):Table35[[#This Row],[Count]])</f>
        <v>398</v>
      </c>
      <c r="C490" s="5" t="s">
        <v>83</v>
      </c>
      <c r="D490" s="5" t="s">
        <v>969</v>
      </c>
      <c r="E490" s="2" t="s">
        <v>13</v>
      </c>
      <c r="F490" s="2" t="s">
        <v>127</v>
      </c>
      <c r="R490" s="5" t="s">
        <v>958</v>
      </c>
    </row>
    <row r="491" spans="1:18" x14ac:dyDescent="0.25">
      <c r="A491" s="2" t="str">
        <f>"MED"&amp;TEXT(Table35[[#This Row],[Count]],"000")&amp;"."&amp;IF(Table35[[#This Row],[Category]]="Essential","E",IF(Table35[[#This Row],[Category]]="Discretionary","D","O"))</f>
        <v>MED399.E</v>
      </c>
      <c r="B491" s="2">
        <f>MAX(Table34[Count])+ROWS(INDEX(Table35[Count],1):Table35[[#This Row],[Count]])</f>
        <v>399</v>
      </c>
      <c r="C491" s="5" t="s">
        <v>83</v>
      </c>
      <c r="D491" s="5" t="s">
        <v>970</v>
      </c>
      <c r="E491" s="2" t="s">
        <v>13</v>
      </c>
      <c r="F491" s="2" t="s">
        <v>127</v>
      </c>
      <c r="R491" s="5" t="s">
        <v>958</v>
      </c>
    </row>
    <row r="492" spans="1:18" x14ac:dyDescent="0.25">
      <c r="A492" s="2" t="str">
        <f>"MED"&amp;TEXT(Table35[[#This Row],[Count]],"000")&amp;"."&amp;IF(Table35[[#This Row],[Category]]="Essential","E",IF(Table35[[#This Row],[Category]]="Discretionary","D","O"))</f>
        <v>MED400.E</v>
      </c>
      <c r="B492" s="2">
        <f>MAX(Table34[Count])+ROWS(INDEX(Table35[Count],1):Table35[[#This Row],[Count]])</f>
        <v>400</v>
      </c>
      <c r="C492" s="5" t="s">
        <v>83</v>
      </c>
      <c r="D492" s="5" t="s">
        <v>971</v>
      </c>
      <c r="E492" s="2" t="s">
        <v>13</v>
      </c>
      <c r="F492" s="2" t="s">
        <v>127</v>
      </c>
      <c r="R492" s="5" t="s">
        <v>958</v>
      </c>
    </row>
    <row r="493" spans="1:18" ht="30" x14ac:dyDescent="0.25">
      <c r="A493" s="2" t="str">
        <f>"MED"&amp;TEXT(Table35[[#This Row],[Count]],"000")&amp;"."&amp;IF(Table35[[#This Row],[Category]]="Essential","E",IF(Table35[[#This Row],[Category]]="Discretionary","D","O"))</f>
        <v>MED401.E</v>
      </c>
      <c r="B493" s="2">
        <f>MAX(Table34[Count])+ROWS(INDEX(Table35[Count],1):Table35[[#This Row],[Count]])</f>
        <v>401</v>
      </c>
      <c r="C493" s="5" t="s">
        <v>83</v>
      </c>
      <c r="D493" s="5" t="s">
        <v>972</v>
      </c>
      <c r="E493" s="2" t="s">
        <v>13</v>
      </c>
      <c r="L493" s="2" t="s">
        <v>127</v>
      </c>
      <c r="M493" s="2" t="s">
        <v>127</v>
      </c>
      <c r="N493" s="2" t="s">
        <v>127</v>
      </c>
      <c r="O493" s="2" t="s">
        <v>127</v>
      </c>
      <c r="P493" s="2" t="s">
        <v>127</v>
      </c>
      <c r="Q493" s="5" t="s">
        <v>127</v>
      </c>
    </row>
    <row r="494" spans="1:18" ht="30" x14ac:dyDescent="0.25">
      <c r="A494" s="2" t="str">
        <f>"MED"&amp;TEXT(Table35[[#This Row],[Count]],"000")&amp;"."&amp;IF(Table35[[#This Row],[Category]]="Essential","E",IF(Table35[[#This Row],[Category]]="Discretionary","D","O"))</f>
        <v>MED402.E</v>
      </c>
      <c r="B494" s="2">
        <f>MAX(Table34[Count])+ROWS(INDEX(Table35[Count],1):Table35[[#This Row],[Count]])</f>
        <v>402</v>
      </c>
      <c r="C494" s="5" t="s">
        <v>83</v>
      </c>
      <c r="D494" s="5" t="s">
        <v>973</v>
      </c>
      <c r="E494" s="2" t="s">
        <v>13</v>
      </c>
      <c r="F494" s="2" t="s">
        <v>127</v>
      </c>
      <c r="R494" s="5" t="s">
        <v>974</v>
      </c>
    </row>
    <row r="495" spans="1:18" ht="30" x14ac:dyDescent="0.25">
      <c r="A495" s="2" t="str">
        <f>"MED"&amp;TEXT(Table35[[#This Row],[Count]],"000")&amp;"."&amp;IF(Table35[[#This Row],[Category]]="Essential","E",IF(Table35[[#This Row],[Category]]="Discretionary","D","O"))</f>
        <v>MED403.E</v>
      </c>
      <c r="B495" s="2">
        <f>MAX(Table34[Count])+ROWS(INDEX(Table35[Count],1):Table35[[#This Row],[Count]])</f>
        <v>403</v>
      </c>
      <c r="C495" s="5" t="s">
        <v>83</v>
      </c>
      <c r="D495" s="5" t="s">
        <v>975</v>
      </c>
      <c r="E495" s="2" t="s">
        <v>13</v>
      </c>
      <c r="F495" s="2" t="s">
        <v>127</v>
      </c>
      <c r="R495" s="5" t="s">
        <v>958</v>
      </c>
    </row>
    <row r="496" spans="1:18" x14ac:dyDescent="0.25">
      <c r="A496" s="2" t="str">
        <f>"MED"&amp;TEXT(Table35[[#This Row],[Count]],"000")&amp;"."&amp;IF(Table35[[#This Row],[Category]]="Essential","E",IF(Table35[[#This Row],[Category]]="Discretionary","D","O"))</f>
        <v>MED404.E</v>
      </c>
      <c r="B496" s="2">
        <f>MAX(Table34[Count])+ROWS(INDEX(Table35[Count],1):Table35[[#This Row],[Count]])</f>
        <v>404</v>
      </c>
      <c r="C496" s="5" t="s">
        <v>83</v>
      </c>
      <c r="D496" s="5" t="s">
        <v>976</v>
      </c>
      <c r="E496" s="2" t="s">
        <v>13</v>
      </c>
      <c r="F496" s="2" t="s">
        <v>127</v>
      </c>
      <c r="R496" s="5" t="s">
        <v>958</v>
      </c>
    </row>
    <row r="497" spans="1:18" x14ac:dyDescent="0.25">
      <c r="A497" s="2" t="str">
        <f>"MED"&amp;TEXT(Table35[[#This Row],[Count]],"000")&amp;"."&amp;IF(Table35[[#This Row],[Category]]="Essential","E",IF(Table35[[#This Row],[Category]]="Discretionary","D","O"))</f>
        <v>MED405.E</v>
      </c>
      <c r="B497" s="2">
        <f>MAX(Table34[Count])+ROWS(INDEX(Table35[Count],1):Table35[[#This Row],[Count]])</f>
        <v>405</v>
      </c>
      <c r="C497" s="5" t="s">
        <v>83</v>
      </c>
      <c r="D497" s="5" t="s">
        <v>976</v>
      </c>
      <c r="E497" s="2" t="s">
        <v>13</v>
      </c>
      <c r="F497" s="2" t="s">
        <v>127</v>
      </c>
      <c r="R497" s="5" t="s">
        <v>958</v>
      </c>
    </row>
    <row r="498" spans="1:18" ht="30" x14ac:dyDescent="0.25">
      <c r="A498" s="2" t="str">
        <f>"MED"&amp;TEXT(Table35[[#This Row],[Count]],"000")&amp;"."&amp;IF(Table35[[#This Row],[Category]]="Essential","E",IF(Table35[[#This Row],[Category]]="Discretionary","D","O"))</f>
        <v>MED406.E</v>
      </c>
      <c r="B498" s="2">
        <f>MAX(Table34[Count])+ROWS(INDEX(Table35[Count],1):Table35[[#This Row],[Count]])</f>
        <v>406</v>
      </c>
      <c r="C498" s="5" t="s">
        <v>83</v>
      </c>
      <c r="D498" s="5" t="s">
        <v>977</v>
      </c>
      <c r="E498" s="2" t="s">
        <v>13</v>
      </c>
      <c r="F498" s="2" t="s">
        <v>127</v>
      </c>
      <c r="R498" s="5" t="s">
        <v>958</v>
      </c>
    </row>
    <row r="499" spans="1:18" ht="30" x14ac:dyDescent="0.25">
      <c r="A499" s="2" t="str">
        <f>"MED"&amp;TEXT(Table35[[#This Row],[Count]],"000")&amp;"."&amp;IF(Table35[[#This Row],[Category]]="Essential","E",IF(Table35[[#This Row],[Category]]="Discretionary","D","O"))</f>
        <v>MED407.E</v>
      </c>
      <c r="B499" s="2">
        <f>MAX(Table34[Count])+ROWS(INDEX(Table35[Count],1):Table35[[#This Row],[Count]])</f>
        <v>407</v>
      </c>
      <c r="C499" s="5" t="s">
        <v>83</v>
      </c>
      <c r="D499" s="5" t="s">
        <v>978</v>
      </c>
      <c r="E499" s="2" t="s">
        <v>13</v>
      </c>
      <c r="F499" s="2" t="s">
        <v>127</v>
      </c>
      <c r="R499" s="5" t="s">
        <v>958</v>
      </c>
    </row>
    <row r="500" spans="1:18" ht="30" x14ac:dyDescent="0.25">
      <c r="A500" s="2" t="str">
        <f>"MED"&amp;TEXT(Table35[[#This Row],[Count]],"000")&amp;"."&amp;IF(Table35[[#This Row],[Category]]="Essential","E",IF(Table35[[#This Row],[Category]]="Discretionary","D","O"))</f>
        <v>MED408.E</v>
      </c>
      <c r="B500" s="2">
        <f>MAX(Table34[Count])+ROWS(INDEX(Table35[Count],1):Table35[[#This Row],[Count]])</f>
        <v>408</v>
      </c>
      <c r="C500" s="5" t="s">
        <v>83</v>
      </c>
      <c r="D500" s="5" t="s">
        <v>979</v>
      </c>
      <c r="E500" s="2" t="s">
        <v>13</v>
      </c>
      <c r="F500" s="2" t="s">
        <v>127</v>
      </c>
      <c r="R500" s="5" t="s">
        <v>958</v>
      </c>
    </row>
    <row r="501" spans="1:18" x14ac:dyDescent="0.25">
      <c r="A501" s="2" t="str">
        <f>"MED"&amp;TEXT(Table35[[#This Row],[Count]],"000")&amp;"."&amp;IF(Table35[[#This Row],[Category]]="Essential","E",IF(Table35[[#This Row],[Category]]="Discretionary","D","O"))</f>
        <v>MED409.E</v>
      </c>
      <c r="B501" s="2">
        <f>MAX(Table34[Count])+ROWS(INDEX(Table35[Count],1):Table35[[#This Row],[Count]])</f>
        <v>409</v>
      </c>
      <c r="C501" s="5" t="s">
        <v>83</v>
      </c>
      <c r="D501" s="5" t="s">
        <v>980</v>
      </c>
      <c r="E501" s="2" t="s">
        <v>13</v>
      </c>
      <c r="L501" s="2" t="s">
        <v>127</v>
      </c>
      <c r="M501" s="2" t="s">
        <v>127</v>
      </c>
      <c r="N501" s="2" t="s">
        <v>127</v>
      </c>
      <c r="O501" s="2" t="s">
        <v>127</v>
      </c>
      <c r="P501" s="2" t="s">
        <v>127</v>
      </c>
      <c r="Q501" s="5" t="s">
        <v>127</v>
      </c>
    </row>
    <row r="502" spans="1:18" x14ac:dyDescent="0.25">
      <c r="A502" s="2" t="str">
        <f>"MED"&amp;TEXT(Table35[[#This Row],[Count]],"000")&amp;"."&amp;IF(Table35[[#This Row],[Category]]="Essential","E",IF(Table35[[#This Row],[Category]]="Discretionary","D","O"))</f>
        <v>MED410.E</v>
      </c>
      <c r="B502" s="2">
        <f>MAX(Table34[Count])+ROWS(INDEX(Table35[Count],1):Table35[[#This Row],[Count]])</f>
        <v>410</v>
      </c>
      <c r="C502" s="5" t="s">
        <v>83</v>
      </c>
      <c r="D502" s="5" t="s">
        <v>981</v>
      </c>
      <c r="E502" s="2" t="s">
        <v>13</v>
      </c>
      <c r="F502" s="2" t="s">
        <v>127</v>
      </c>
      <c r="R502" s="5" t="s">
        <v>958</v>
      </c>
    </row>
    <row r="503" spans="1:18" ht="30" x14ac:dyDescent="0.25">
      <c r="A503" s="2" t="str">
        <f>"MED"&amp;TEXT(Table35[[#This Row],[Count]],"000")&amp;"."&amp;IF(Table35[[#This Row],[Category]]="Essential","E",IF(Table35[[#This Row],[Category]]="Discretionary","D","O"))</f>
        <v>MED411.O</v>
      </c>
      <c r="B503" s="2">
        <f>MAX(Table34[Count])+ROWS(INDEX(Table35[Count],1):Table35[[#This Row],[Count]])</f>
        <v>411</v>
      </c>
      <c r="C503" s="5" t="s">
        <v>83</v>
      </c>
      <c r="D503" s="5" t="s">
        <v>982</v>
      </c>
      <c r="E503" s="2" t="s">
        <v>23</v>
      </c>
      <c r="F503" s="2" t="s">
        <v>127</v>
      </c>
      <c r="R503" s="5" t="s">
        <v>983</v>
      </c>
    </row>
    <row r="504" spans="1:18" x14ac:dyDescent="0.25">
      <c r="A504" s="2" t="str">
        <f>"MED"&amp;TEXT(Table35[[#This Row],[Count]],"000")&amp;"."&amp;IF(Table35[[#This Row],[Category]]="Essential","E",IF(Table35[[#This Row],[Category]]="Discretionary","D","O"))</f>
        <v>MED412.E</v>
      </c>
      <c r="B504" s="2">
        <f>MAX(Table34[Count])+ROWS(INDEX(Table35[Count],1):Table35[[#This Row],[Count]])</f>
        <v>412</v>
      </c>
      <c r="C504" s="5" t="s">
        <v>83</v>
      </c>
      <c r="D504" s="5" t="s">
        <v>984</v>
      </c>
      <c r="E504" s="2" t="s">
        <v>13</v>
      </c>
      <c r="F504" s="2" t="s">
        <v>127</v>
      </c>
      <c r="R504" s="5" t="s">
        <v>958</v>
      </c>
    </row>
    <row r="505" spans="1:18" x14ac:dyDescent="0.25">
      <c r="A505" s="2" t="str">
        <f>"MED"&amp;TEXT(Table35[[#This Row],[Count]],"000")&amp;"."&amp;IF(Table35[[#This Row],[Category]]="Essential","E",IF(Table35[[#This Row],[Category]]="Discretionary","D","O"))</f>
        <v>MED413.E</v>
      </c>
      <c r="B505" s="2">
        <f>MAX(Table34[Count])+ROWS(INDEX(Table35[Count],1):Table35[[#This Row],[Count]])</f>
        <v>413</v>
      </c>
      <c r="C505" s="5" t="s">
        <v>83</v>
      </c>
      <c r="D505" s="5" t="s">
        <v>985</v>
      </c>
      <c r="E505" s="2" t="s">
        <v>13</v>
      </c>
      <c r="L505" s="2" t="s">
        <v>127</v>
      </c>
      <c r="M505" s="2" t="s">
        <v>127</v>
      </c>
      <c r="N505" s="2" t="s">
        <v>127</v>
      </c>
      <c r="O505" s="2" t="s">
        <v>127</v>
      </c>
      <c r="P505" s="2" t="s">
        <v>127</v>
      </c>
      <c r="Q505" s="5" t="s">
        <v>127</v>
      </c>
    </row>
    <row r="506" spans="1:18" x14ac:dyDescent="0.25">
      <c r="A506" s="2" t="str">
        <f>"MED"&amp;TEXT(Table35[[#This Row],[Count]],"000")&amp;"."&amp;IF(Table35[[#This Row],[Category]]="Essential","E",IF(Table35[[#This Row],[Category]]="Discretionary","D","O"))</f>
        <v>MED414.E</v>
      </c>
      <c r="B506" s="2">
        <f>MAX(Table34[Count])+ROWS(INDEX(Table35[Count],1):Table35[[#This Row],[Count]])</f>
        <v>414</v>
      </c>
      <c r="C506" s="5" t="s">
        <v>83</v>
      </c>
      <c r="D506" s="5" t="s">
        <v>986</v>
      </c>
      <c r="E506" s="2" t="s">
        <v>13</v>
      </c>
      <c r="F506" s="2" t="s">
        <v>127</v>
      </c>
      <c r="R506" s="5" t="s">
        <v>958</v>
      </c>
    </row>
    <row r="507" spans="1:18" x14ac:dyDescent="0.25">
      <c r="A507" s="2" t="str">
        <f>"MED"&amp;TEXT(Table35[[#This Row],[Count]],"000")&amp;"."&amp;IF(Table35[[#This Row],[Category]]="Essential","E",IF(Table35[[#This Row],[Category]]="Discretionary","D","O"))</f>
        <v>MED415.E</v>
      </c>
      <c r="B507" s="2">
        <f>MAX(Table34[Count])+ROWS(INDEX(Table35[Count],1):Table35[[#This Row],[Count]])</f>
        <v>415</v>
      </c>
      <c r="C507" s="5" t="s">
        <v>83</v>
      </c>
      <c r="D507" s="5" t="s">
        <v>987</v>
      </c>
      <c r="E507" s="2" t="s">
        <v>13</v>
      </c>
      <c r="F507" s="2" t="s">
        <v>127</v>
      </c>
      <c r="R507" s="5" t="s">
        <v>958</v>
      </c>
    </row>
    <row r="508" spans="1:18" x14ac:dyDescent="0.25">
      <c r="A508" s="2" t="str">
        <f>"MED"&amp;TEXT(Table35[[#This Row],[Count]],"000")&amp;"."&amp;IF(Table35[[#This Row],[Category]]="Essential","E",IF(Table35[[#This Row],[Category]]="Discretionary","D","O"))</f>
        <v>MED416.E</v>
      </c>
      <c r="B508" s="2">
        <f>MAX(Table34[Count])+ROWS(INDEX(Table35[Count],1):Table35[[#This Row],[Count]])</f>
        <v>416</v>
      </c>
      <c r="C508" s="5" t="s">
        <v>83</v>
      </c>
      <c r="D508" s="5" t="s">
        <v>988</v>
      </c>
      <c r="E508" s="2" t="s">
        <v>13</v>
      </c>
      <c r="F508" s="2" t="s">
        <v>127</v>
      </c>
      <c r="R508" s="5" t="s">
        <v>958</v>
      </c>
    </row>
    <row r="509" spans="1:18" x14ac:dyDescent="0.25">
      <c r="A509" s="2" t="str">
        <f>"MED"&amp;TEXT(Table35[[#This Row],[Count]],"000")&amp;"."&amp;IF(Table35[[#This Row],[Category]]="Essential","E",IF(Table35[[#This Row],[Category]]="Discretionary","D","O"))</f>
        <v>MED417.E</v>
      </c>
      <c r="B509" s="2">
        <f>MAX(Table34[Count])+ROWS(INDEX(Table35[Count],1):Table35[[#This Row],[Count]])</f>
        <v>417</v>
      </c>
      <c r="C509" s="5" t="s">
        <v>83</v>
      </c>
      <c r="D509" s="5" t="s">
        <v>989</v>
      </c>
      <c r="E509" s="2" t="s">
        <v>13</v>
      </c>
      <c r="F509" s="2" t="s">
        <v>127</v>
      </c>
      <c r="R509" s="5" t="s">
        <v>958</v>
      </c>
    </row>
    <row r="510" spans="1:18" x14ac:dyDescent="0.25">
      <c r="A510" s="2" t="str">
        <f>"MED"&amp;TEXT(Table35[[#This Row],[Count]],"000")&amp;"."&amp;IF(Table35[[#This Row],[Category]]="Essential","E",IF(Table35[[#This Row],[Category]]="Discretionary","D","O"))</f>
        <v>MED418.E</v>
      </c>
      <c r="B510" s="2">
        <f>MAX(Table34[Count])+ROWS(INDEX(Table35[Count],1):Table35[[#This Row],[Count]])</f>
        <v>418</v>
      </c>
      <c r="C510" s="5" t="s">
        <v>83</v>
      </c>
      <c r="D510" s="5" t="s">
        <v>990</v>
      </c>
      <c r="E510" s="2" t="s">
        <v>13</v>
      </c>
      <c r="F510" s="2" t="s">
        <v>127</v>
      </c>
      <c r="R510" s="5" t="s">
        <v>958</v>
      </c>
    </row>
    <row r="511" spans="1:18" x14ac:dyDescent="0.25">
      <c r="A511" s="2" t="str">
        <f>"MED"&amp;TEXT(Table35[[#This Row],[Count]],"000")&amp;"."&amp;IF(Table35[[#This Row],[Category]]="Essential","E",IF(Table35[[#This Row],[Category]]="Discretionary","D","O"))</f>
        <v>MED419.E</v>
      </c>
      <c r="B511" s="2">
        <f>MAX(Table34[Count])+ROWS(INDEX(Table35[Count],1):Table35[[#This Row],[Count]])</f>
        <v>419</v>
      </c>
      <c r="C511" s="5" t="s">
        <v>83</v>
      </c>
      <c r="D511" s="5" t="s">
        <v>991</v>
      </c>
      <c r="E511" s="2" t="s">
        <v>13</v>
      </c>
      <c r="F511" s="2" t="s">
        <v>127</v>
      </c>
      <c r="R511" s="5" t="s">
        <v>958</v>
      </c>
    </row>
    <row r="512" spans="1:18" x14ac:dyDescent="0.25">
      <c r="A512" s="2" t="str">
        <f>"MED"&amp;TEXT(Table35[[#This Row],[Count]],"000")&amp;"."&amp;IF(Table35[[#This Row],[Category]]="Essential","E",IF(Table35[[#This Row],[Category]]="Discretionary","D","O"))</f>
        <v>MED420.E</v>
      </c>
      <c r="B512" s="2">
        <f>MAX(Table34[Count])+ROWS(INDEX(Table35[Count],1):Table35[[#This Row],[Count]])</f>
        <v>420</v>
      </c>
      <c r="C512" s="5" t="s">
        <v>83</v>
      </c>
      <c r="D512" s="5" t="s">
        <v>992</v>
      </c>
      <c r="E512" s="2" t="s">
        <v>13</v>
      </c>
      <c r="F512" s="2" t="s">
        <v>127</v>
      </c>
      <c r="R512" s="5" t="s">
        <v>958</v>
      </c>
    </row>
    <row r="513" spans="1:18" x14ac:dyDescent="0.25">
      <c r="A513" s="2" t="str">
        <f>"MED"&amp;TEXT(Table35[[#This Row],[Count]],"000")&amp;"."&amp;IF(Table35[[#This Row],[Category]]="Essential","E",IF(Table35[[#This Row],[Category]]="Discretionary","D","O"))</f>
        <v>MED421.E</v>
      </c>
      <c r="B513" s="2">
        <f>MAX(Table34[Count])+ROWS(INDEX(Table35[Count],1):Table35[[#This Row],[Count]])</f>
        <v>421</v>
      </c>
      <c r="C513" s="5" t="s">
        <v>83</v>
      </c>
      <c r="D513" s="5" t="s">
        <v>993</v>
      </c>
      <c r="E513" s="2" t="s">
        <v>13</v>
      </c>
      <c r="F513" s="2" t="s">
        <v>127</v>
      </c>
      <c r="R513" s="5" t="s">
        <v>958</v>
      </c>
    </row>
    <row r="514" spans="1:18" x14ac:dyDescent="0.25">
      <c r="A514" s="2" t="str">
        <f>"MED"&amp;TEXT(Table35[[#This Row],[Count]],"000")&amp;"."&amp;IF(Table35[[#This Row],[Category]]="Essential","E",IF(Table35[[#This Row],[Category]]="Discretionary","D","O"))</f>
        <v>MED422.E</v>
      </c>
      <c r="B514" s="2">
        <f>MAX(Table34[Count])+ROWS(INDEX(Table35[Count],1):Table35[[#This Row],[Count]])</f>
        <v>422</v>
      </c>
      <c r="C514" s="5" t="s">
        <v>83</v>
      </c>
      <c r="D514" s="5" t="s">
        <v>994</v>
      </c>
      <c r="E514" s="2" t="s">
        <v>13</v>
      </c>
      <c r="F514" s="2" t="s">
        <v>127</v>
      </c>
      <c r="R514" s="5" t="s">
        <v>958</v>
      </c>
    </row>
    <row r="515" spans="1:18" x14ac:dyDescent="0.25">
      <c r="A515" s="2" t="str">
        <f>"MED"&amp;TEXT(Table35[[#This Row],[Count]],"000")&amp;"."&amp;IF(Table35[[#This Row],[Category]]="Essential","E",IF(Table35[[#This Row],[Category]]="Discretionary","D","O"))</f>
        <v>MED423.E</v>
      </c>
      <c r="B515" s="2">
        <f>MAX(Table34[Count])+ROWS(INDEX(Table35[Count],1):Table35[[#This Row],[Count]])</f>
        <v>423</v>
      </c>
      <c r="C515" s="5" t="s">
        <v>83</v>
      </c>
      <c r="D515" s="5" t="s">
        <v>995</v>
      </c>
      <c r="E515" s="2" t="s">
        <v>13</v>
      </c>
      <c r="F515" s="2" t="s">
        <v>127</v>
      </c>
      <c r="R515" s="5" t="s">
        <v>958</v>
      </c>
    </row>
    <row r="516" spans="1:18" ht="30" x14ac:dyDescent="0.25">
      <c r="A516" s="2" t="str">
        <f>"MED"&amp;TEXT(Table35[[#This Row],[Count]],"000")&amp;"."&amp;IF(Table35[[#This Row],[Category]]="Essential","E",IF(Table35[[#This Row],[Category]]="Discretionary","D","O"))</f>
        <v>MED424.E</v>
      </c>
      <c r="B516" s="2">
        <f>MAX(Table34[Count])+ROWS(INDEX(Table35[Count],1):Table35[[#This Row],[Count]])</f>
        <v>424</v>
      </c>
      <c r="C516" s="5" t="s">
        <v>83</v>
      </c>
      <c r="D516" s="5" t="s">
        <v>996</v>
      </c>
      <c r="E516" s="2" t="s">
        <v>13</v>
      </c>
      <c r="F516" s="2" t="s">
        <v>127</v>
      </c>
      <c r="R516" s="5" t="s">
        <v>958</v>
      </c>
    </row>
    <row r="517" spans="1:18" x14ac:dyDescent="0.25">
      <c r="A517" s="2" t="str">
        <f>"MED"&amp;TEXT(Table35[[#This Row],[Count]],"000")&amp;"."&amp;IF(Table35[[#This Row],[Category]]="Essential","E",IF(Table35[[#This Row],[Category]]="Discretionary","D","O"))</f>
        <v>MED425.E</v>
      </c>
      <c r="B517" s="2">
        <f>MAX(Table34[Count])+ROWS(INDEX(Table35[Count],1):Table35[[#This Row],[Count]])</f>
        <v>425</v>
      </c>
      <c r="C517" s="5" t="s">
        <v>83</v>
      </c>
      <c r="D517" s="5" t="s">
        <v>997</v>
      </c>
      <c r="E517" s="2" t="s">
        <v>13</v>
      </c>
      <c r="F517" s="2" t="s">
        <v>127</v>
      </c>
      <c r="R517" s="5" t="s">
        <v>958</v>
      </c>
    </row>
    <row r="518" spans="1:18" ht="45" x14ac:dyDescent="0.25">
      <c r="A518" s="2" t="str">
        <f>"MED"&amp;TEXT(Table35[[#This Row],[Count]],"000")&amp;"."&amp;IF(Table35[[#This Row],[Category]]="Essential","E",IF(Table35[[#This Row],[Category]]="Discretionary","D","O"))</f>
        <v>MED426.E</v>
      </c>
      <c r="B518" s="2">
        <f>MAX(Table34[Count])+ROWS(INDEX(Table35[Count],1):Table35[[#This Row],[Count]])</f>
        <v>426</v>
      </c>
      <c r="C518" s="5" t="s">
        <v>83</v>
      </c>
      <c r="D518" s="5" t="s">
        <v>998</v>
      </c>
      <c r="E518" s="2" t="s">
        <v>13</v>
      </c>
      <c r="F518" s="2" t="s">
        <v>127</v>
      </c>
      <c r="R518" s="5" t="s">
        <v>958</v>
      </c>
    </row>
    <row r="519" spans="1:18" ht="30" x14ac:dyDescent="0.25">
      <c r="A519" s="2" t="str">
        <f>"MED"&amp;TEXT(Table35[[#This Row],[Count]],"000")&amp;"."&amp;IF(Table35[[#This Row],[Category]]="Essential","E",IF(Table35[[#This Row],[Category]]="Discretionary","D","O"))</f>
        <v>MED427.E</v>
      </c>
      <c r="B519" s="2">
        <f>MAX(Table34[Count])+ROWS(INDEX(Table35[Count],1):Table35[[#This Row],[Count]])</f>
        <v>427</v>
      </c>
      <c r="C519" s="5" t="s">
        <v>83</v>
      </c>
      <c r="D519" s="5" t="s">
        <v>999</v>
      </c>
      <c r="E519" s="2" t="s">
        <v>13</v>
      </c>
      <c r="F519" s="2" t="s">
        <v>127</v>
      </c>
      <c r="R519" s="5" t="s">
        <v>958</v>
      </c>
    </row>
    <row r="520" spans="1:18" ht="30" x14ac:dyDescent="0.25">
      <c r="A520" s="2" t="str">
        <f>"MED"&amp;TEXT(Table35[[#This Row],[Count]],"000")&amp;"."&amp;IF(Table35[[#This Row],[Category]]="Essential","E",IF(Table35[[#This Row],[Category]]="Discretionary","D","O"))</f>
        <v>MED428.E</v>
      </c>
      <c r="B520" s="2">
        <f>MAX(Table34[Count])+ROWS(INDEX(Table35[Count],1):Table35[[#This Row],[Count]])</f>
        <v>428</v>
      </c>
      <c r="C520" s="5" t="s">
        <v>83</v>
      </c>
      <c r="D520" s="5" t="s">
        <v>1000</v>
      </c>
      <c r="E520" s="2" t="s">
        <v>13</v>
      </c>
      <c r="F520" s="2" t="s">
        <v>127</v>
      </c>
      <c r="R520" s="5" t="s">
        <v>958</v>
      </c>
    </row>
    <row r="521" spans="1:18" x14ac:dyDescent="0.25">
      <c r="A521" s="2" t="str">
        <f>"MED"&amp;TEXT(Table35[[#This Row],[Count]],"000")&amp;"."&amp;IF(Table35[[#This Row],[Category]]="Essential","E",IF(Table35[[#This Row],[Category]]="Discretionary","D","O"))</f>
        <v>MED429.E</v>
      </c>
      <c r="B521" s="2">
        <f>MAX(Table34[Count])+ROWS(INDEX(Table35[Count],1):Table35[[#This Row],[Count]])</f>
        <v>429</v>
      </c>
      <c r="C521" s="5" t="s">
        <v>83</v>
      </c>
      <c r="D521" s="5" t="s">
        <v>1001</v>
      </c>
      <c r="E521" s="2" t="s">
        <v>13</v>
      </c>
      <c r="L521" s="2" t="s">
        <v>127</v>
      </c>
      <c r="M521" s="2" t="s">
        <v>127</v>
      </c>
      <c r="N521" s="2" t="s">
        <v>127</v>
      </c>
      <c r="O521" s="2" t="s">
        <v>127</v>
      </c>
      <c r="P521" s="2" t="s">
        <v>127</v>
      </c>
      <c r="Q521" s="5" t="s">
        <v>127</v>
      </c>
    </row>
    <row r="522" spans="1:18" x14ac:dyDescent="0.25">
      <c r="A522" s="2" t="str">
        <f>"MED"&amp;TEXT(Table35[[#This Row],[Count]],"000")&amp;"."&amp;IF(Table35[[#This Row],[Category]]="Essential","E",IF(Table35[[#This Row],[Category]]="Discretionary","D","O"))</f>
        <v>MED430.E</v>
      </c>
      <c r="B522" s="2">
        <f>MAX(Table34[Count])+ROWS(INDEX(Table35[Count],1):Table35[[#This Row],[Count]])</f>
        <v>430</v>
      </c>
      <c r="C522" s="5" t="s">
        <v>83</v>
      </c>
      <c r="D522" s="5" t="s">
        <v>1002</v>
      </c>
      <c r="E522" s="2" t="s">
        <v>13</v>
      </c>
      <c r="F522" s="2" t="s">
        <v>127</v>
      </c>
      <c r="R522" s="5" t="s">
        <v>958</v>
      </c>
    </row>
    <row r="523" spans="1:18" ht="30" x14ac:dyDescent="0.25">
      <c r="A523" s="2" t="str">
        <f>"MED"&amp;TEXT(Table35[[#This Row],[Count]],"000")&amp;"."&amp;IF(Table35[[#This Row],[Category]]="Essential","E",IF(Table35[[#This Row],[Category]]="Discretionary","D","O"))</f>
        <v>MED431.O</v>
      </c>
      <c r="B523" s="2">
        <f>MAX(Table34[Count])+ROWS(INDEX(Table35[Count],1):Table35[[#This Row],[Count]])</f>
        <v>431</v>
      </c>
      <c r="C523" s="5" t="s">
        <v>83</v>
      </c>
      <c r="D523" s="5" t="s">
        <v>1003</v>
      </c>
      <c r="E523" s="2" t="s">
        <v>23</v>
      </c>
      <c r="F523" s="2" t="s">
        <v>127</v>
      </c>
      <c r="R523" s="5" t="s">
        <v>983</v>
      </c>
    </row>
    <row r="524" spans="1:18" ht="30" x14ac:dyDescent="0.25">
      <c r="A524" s="2" t="str">
        <f>"MED"&amp;TEXT(Table35[[#This Row],[Count]],"000")&amp;"."&amp;IF(Table35[[#This Row],[Category]]="Essential","E",IF(Table35[[#This Row],[Category]]="Discretionary","D","O"))</f>
        <v>MED432.E</v>
      </c>
      <c r="B524" s="2">
        <f>MAX(Table34[Count])+ROWS(INDEX(Table35[Count],1):Table35[[#This Row],[Count]])</f>
        <v>432</v>
      </c>
      <c r="C524" s="5" t="s">
        <v>83</v>
      </c>
      <c r="D524" s="5" t="s">
        <v>1004</v>
      </c>
      <c r="E524" s="2" t="s">
        <v>13</v>
      </c>
      <c r="F524" s="2" t="s">
        <v>127</v>
      </c>
      <c r="R524" s="5" t="s">
        <v>958</v>
      </c>
    </row>
    <row r="525" spans="1:18" ht="45" x14ac:dyDescent="0.25">
      <c r="A525" s="2" t="str">
        <f>"MED"&amp;TEXT(Table35[[#This Row],[Count]],"000")&amp;"."&amp;IF(Table35[[#This Row],[Category]]="Essential","E",IF(Table35[[#This Row],[Category]]="Discretionary","D","O"))</f>
        <v>MED433.E</v>
      </c>
      <c r="B525" s="2">
        <f>MAX(Table34[Count])+ROWS(INDEX(Table35[Count],1):Table35[[#This Row],[Count]])</f>
        <v>433</v>
      </c>
      <c r="C525" s="5" t="s">
        <v>83</v>
      </c>
      <c r="D525" s="5" t="s">
        <v>1005</v>
      </c>
      <c r="E525" s="2" t="s">
        <v>13</v>
      </c>
      <c r="F525" s="2" t="s">
        <v>127</v>
      </c>
      <c r="R525" s="5" t="s">
        <v>958</v>
      </c>
    </row>
    <row r="526" spans="1:18" x14ac:dyDescent="0.25">
      <c r="A526" s="2" t="str">
        <f>"MED"&amp;TEXT(Table35[[#This Row],[Count]],"000")&amp;"."&amp;IF(Table35[[#This Row],[Category]]="Essential","E",IF(Table35[[#This Row],[Category]]="Discretionary","D","O"))</f>
        <v>MED434.E</v>
      </c>
      <c r="B526" s="2">
        <f>MAX(Table34[Count])+ROWS(INDEX(Table35[Count],1):Table35[[#This Row],[Count]])</f>
        <v>434</v>
      </c>
      <c r="C526" s="5" t="s">
        <v>83</v>
      </c>
      <c r="D526" s="5" t="s">
        <v>1006</v>
      </c>
      <c r="E526" s="2" t="s">
        <v>13</v>
      </c>
      <c r="F526" s="2" t="s">
        <v>127</v>
      </c>
      <c r="R526" s="5" t="s">
        <v>958</v>
      </c>
    </row>
    <row r="527" spans="1:18" x14ac:dyDescent="0.25">
      <c r="A527" s="2" t="str">
        <f>"MED"&amp;TEXT(Table35[[#This Row],[Count]],"000")&amp;"."&amp;IF(Table35[[#This Row],[Category]]="Essential","E",IF(Table35[[#This Row],[Category]]="Discretionary","D","O"))</f>
        <v>MED435.E</v>
      </c>
      <c r="B527" s="2">
        <f>MAX(Table34[Count])+ROWS(INDEX(Table35[Count],1):Table35[[#This Row],[Count]])</f>
        <v>435</v>
      </c>
      <c r="C527" s="5" t="s">
        <v>83</v>
      </c>
      <c r="D527" s="5" t="s">
        <v>1007</v>
      </c>
      <c r="E527" s="2" t="s">
        <v>13</v>
      </c>
      <c r="L527" s="2" t="s">
        <v>127</v>
      </c>
      <c r="M527" s="2" t="s">
        <v>127</v>
      </c>
      <c r="N527" s="2" t="s">
        <v>127</v>
      </c>
      <c r="O527" s="2" t="s">
        <v>127</v>
      </c>
      <c r="P527" s="2" t="s">
        <v>127</v>
      </c>
      <c r="Q527" s="5" t="s">
        <v>127</v>
      </c>
    </row>
    <row r="528" spans="1:18" x14ac:dyDescent="0.25">
      <c r="A528" s="2" t="str">
        <f>"MED"&amp;TEXT(Table35[[#This Row],[Count]],"000")&amp;"."&amp;IF(Table35[[#This Row],[Category]]="Essential","E",IF(Table35[[#This Row],[Category]]="Discretionary","D","O"))</f>
        <v>MED436.E</v>
      </c>
      <c r="B528" s="2">
        <f>MAX(Table34[Count])+ROWS(INDEX(Table35[Count],1):Table35[[#This Row],[Count]])</f>
        <v>436</v>
      </c>
      <c r="C528" s="5" t="s">
        <v>83</v>
      </c>
      <c r="D528" s="5" t="s">
        <v>1008</v>
      </c>
      <c r="E528" s="2" t="s">
        <v>13</v>
      </c>
      <c r="F528" s="2" t="s">
        <v>127</v>
      </c>
      <c r="R528" s="5" t="s">
        <v>958</v>
      </c>
    </row>
    <row r="529" spans="1:18" x14ac:dyDescent="0.25">
      <c r="A529" s="2" t="str">
        <f>"MED"&amp;TEXT(Table35[[#This Row],[Count]],"000")&amp;"."&amp;IF(Table35[[#This Row],[Category]]="Essential","E",IF(Table35[[#This Row],[Category]]="Discretionary","D","O"))</f>
        <v>MED437.E</v>
      </c>
      <c r="B529" s="2">
        <f>MAX(Table34[Count])+ROWS(INDEX(Table35[Count],1):Table35[[#This Row],[Count]])</f>
        <v>437</v>
      </c>
      <c r="C529" s="5" t="s">
        <v>83</v>
      </c>
      <c r="D529" s="5" t="s">
        <v>1009</v>
      </c>
      <c r="E529" s="2" t="s">
        <v>13</v>
      </c>
      <c r="F529" s="2" t="s">
        <v>127</v>
      </c>
      <c r="R529" s="5" t="s">
        <v>958</v>
      </c>
    </row>
    <row r="530" spans="1:18" x14ac:dyDescent="0.25">
      <c r="A530" s="2" t="str">
        <f>"MED"&amp;TEXT(Table35[[#This Row],[Count]],"000")&amp;"."&amp;IF(Table35[[#This Row],[Category]]="Essential","E",IF(Table35[[#This Row],[Category]]="Discretionary","D","O"))</f>
        <v>MED438.E</v>
      </c>
      <c r="B530" s="2">
        <f>MAX(Table34[Count])+ROWS(INDEX(Table35[Count],1):Table35[[#This Row],[Count]])</f>
        <v>438</v>
      </c>
      <c r="C530" s="5" t="s">
        <v>83</v>
      </c>
      <c r="D530" s="5" t="s">
        <v>1010</v>
      </c>
      <c r="E530" s="2" t="s">
        <v>13</v>
      </c>
      <c r="F530" s="2" t="s">
        <v>127</v>
      </c>
      <c r="R530" s="5" t="s">
        <v>958</v>
      </c>
    </row>
    <row r="531" spans="1:18" ht="30" x14ac:dyDescent="0.25">
      <c r="A531" s="2" t="str">
        <f>"MED"&amp;TEXT(Table35[[#This Row],[Count]],"000")&amp;"."&amp;IF(Table35[[#This Row],[Category]]="Essential","E",IF(Table35[[#This Row],[Category]]="Discretionary","D","O"))</f>
        <v>MED439.E</v>
      </c>
      <c r="B531" s="2">
        <f>MAX(Table34[Count])+ROWS(INDEX(Table35[Count],1):Table35[[#This Row],[Count]])</f>
        <v>439</v>
      </c>
      <c r="C531" s="5" t="s">
        <v>83</v>
      </c>
      <c r="D531" s="5" t="s">
        <v>1011</v>
      </c>
      <c r="E531" s="2" t="s">
        <v>13</v>
      </c>
      <c r="F531" s="2" t="s">
        <v>127</v>
      </c>
      <c r="R531" s="5" t="s">
        <v>958</v>
      </c>
    </row>
    <row r="532" spans="1:18" x14ac:dyDescent="0.25">
      <c r="A532" s="2" t="str">
        <f>"MED"&amp;TEXT(Table35[[#This Row],[Count]],"000")&amp;"."&amp;IF(Table35[[#This Row],[Category]]="Essential","E",IF(Table35[[#This Row],[Category]]="Discretionary","D","O"))</f>
        <v>MED440.E</v>
      </c>
      <c r="B532" s="2">
        <f>MAX(Table34[Count])+ROWS(INDEX(Table35[Count],1):Table35[[#This Row],[Count]])</f>
        <v>440</v>
      </c>
      <c r="C532" s="5" t="s">
        <v>83</v>
      </c>
      <c r="D532" s="5" t="s">
        <v>1012</v>
      </c>
      <c r="E532" s="2" t="s">
        <v>13</v>
      </c>
      <c r="F532" s="2" t="s">
        <v>127</v>
      </c>
      <c r="R532" s="5" t="s">
        <v>958</v>
      </c>
    </row>
    <row r="533" spans="1:18" x14ac:dyDescent="0.25">
      <c r="A533" s="2" t="str">
        <f>"MED"&amp;TEXT(Table35[[#This Row],[Count]],"000")&amp;"."&amp;IF(Table35[[#This Row],[Category]]="Essential","E",IF(Table35[[#This Row],[Category]]="Discretionary","D","O"))</f>
        <v>MED441.E</v>
      </c>
      <c r="B533" s="2">
        <f>MAX(Table34[Count])+ROWS(INDEX(Table35[Count],1):Table35[[#This Row],[Count]])</f>
        <v>441</v>
      </c>
      <c r="C533" s="5" t="s">
        <v>83</v>
      </c>
      <c r="D533" s="5" t="s">
        <v>1013</v>
      </c>
      <c r="E533" s="2" t="s">
        <v>13</v>
      </c>
      <c r="L533" s="2" t="s">
        <v>127</v>
      </c>
      <c r="M533" s="2" t="s">
        <v>127</v>
      </c>
      <c r="N533" s="2" t="s">
        <v>127</v>
      </c>
      <c r="O533" s="2" t="s">
        <v>127</v>
      </c>
      <c r="P533" s="2" t="s">
        <v>127</v>
      </c>
      <c r="Q533" s="5" t="s">
        <v>127</v>
      </c>
    </row>
    <row r="534" spans="1:18" x14ac:dyDescent="0.25">
      <c r="A534" s="2" t="str">
        <f>"MED"&amp;TEXT(Table35[[#This Row],[Count]],"000")&amp;"."&amp;IF(Table35[[#This Row],[Category]]="Essential","E",IF(Table35[[#This Row],[Category]]="Discretionary","D","O"))</f>
        <v>MED442.E</v>
      </c>
      <c r="B534" s="2">
        <f>MAX(Table34[Count])+ROWS(INDEX(Table35[Count],1):Table35[[#This Row],[Count]])</f>
        <v>442</v>
      </c>
      <c r="C534" s="5" t="s">
        <v>83</v>
      </c>
      <c r="D534" s="5" t="s">
        <v>1014</v>
      </c>
      <c r="E534" s="2" t="s">
        <v>13</v>
      </c>
      <c r="F534" s="2" t="s">
        <v>127</v>
      </c>
      <c r="R534" s="5" t="s">
        <v>974</v>
      </c>
    </row>
    <row r="535" spans="1:18" x14ac:dyDescent="0.25">
      <c r="A535" s="2" t="str">
        <f>"MED"&amp;TEXT(Table35[[#This Row],[Count]],"000")&amp;"."&amp;IF(Table35[[#This Row],[Category]]="Essential","E",IF(Table35[[#This Row],[Category]]="Discretionary","D","O"))</f>
        <v>MED443.E</v>
      </c>
      <c r="B535" s="2">
        <f>MAX(Table34[Count])+ROWS(INDEX(Table35[Count],1):Table35[[#This Row],[Count]])</f>
        <v>443</v>
      </c>
      <c r="C535" s="5" t="s">
        <v>83</v>
      </c>
      <c r="D535" s="5" t="s">
        <v>1015</v>
      </c>
      <c r="E535" s="2" t="s">
        <v>13</v>
      </c>
      <c r="L535" s="2" t="s">
        <v>127</v>
      </c>
      <c r="M535" s="2" t="s">
        <v>127</v>
      </c>
      <c r="N535" s="2" t="s">
        <v>127</v>
      </c>
      <c r="O535" s="2" t="s">
        <v>127</v>
      </c>
      <c r="P535" s="2" t="s">
        <v>127</v>
      </c>
      <c r="Q535" s="5" t="s">
        <v>127</v>
      </c>
    </row>
    <row r="536" spans="1:18" ht="30" x14ac:dyDescent="0.25">
      <c r="A536" s="2" t="str">
        <f>"MED"&amp;TEXT(Table35[[#This Row],[Count]],"000")&amp;"."&amp;IF(Table35[[#This Row],[Category]]="Essential","E",IF(Table35[[#This Row],[Category]]="Discretionary","D","O"))</f>
        <v>MED444.E</v>
      </c>
      <c r="B536" s="2">
        <f>MAX(Table34[Count])+ROWS(INDEX(Table35[Count],1):Table35[[#This Row],[Count]])</f>
        <v>444</v>
      </c>
      <c r="C536" s="5" t="s">
        <v>83</v>
      </c>
      <c r="D536" s="5" t="s">
        <v>1016</v>
      </c>
      <c r="E536" s="2" t="s">
        <v>13</v>
      </c>
      <c r="L536" s="2" t="s">
        <v>127</v>
      </c>
      <c r="M536" s="2" t="s">
        <v>127</v>
      </c>
      <c r="N536" s="2" t="s">
        <v>127</v>
      </c>
      <c r="O536" s="2" t="s">
        <v>127</v>
      </c>
      <c r="P536" s="2" t="s">
        <v>127</v>
      </c>
      <c r="Q536" s="5" t="s">
        <v>127</v>
      </c>
    </row>
    <row r="537" spans="1:18" x14ac:dyDescent="0.25">
      <c r="A537" s="2" t="str">
        <f>"MED"&amp;TEXT(Table35[[#This Row],[Count]],"000")&amp;"."&amp;IF(Table35[[#This Row],[Category]]="Essential","E",IF(Table35[[#This Row],[Category]]="Discretionary","D","O"))</f>
        <v>MED445.D</v>
      </c>
      <c r="B537" s="2">
        <f>MAX(Table34[Count])+ROWS(INDEX(Table35[Count],1):Table35[[#This Row],[Count]])</f>
        <v>445</v>
      </c>
      <c r="C537" s="5" t="s">
        <v>83</v>
      </c>
      <c r="D537" s="5" t="s">
        <v>1017</v>
      </c>
      <c r="E537" s="2" t="s">
        <v>18</v>
      </c>
      <c r="F537" s="2" t="s">
        <v>127</v>
      </c>
      <c r="R537" s="5" t="s">
        <v>974</v>
      </c>
    </row>
    <row r="538" spans="1:18" x14ac:dyDescent="0.25">
      <c r="A538" s="2" t="str">
        <f>"MED"&amp;TEXT(Table35[[#This Row],[Count]],"000")&amp;"."&amp;IF(Table35[[#This Row],[Category]]="Essential","E",IF(Table35[[#This Row],[Category]]="Discretionary","D","O"))</f>
        <v>MED446.D</v>
      </c>
      <c r="B538" s="2">
        <f>MAX(Table34[Count])+ROWS(INDEX(Table35[Count],1):Table35[[#This Row],[Count]])</f>
        <v>446</v>
      </c>
      <c r="C538" s="5" t="s">
        <v>83</v>
      </c>
      <c r="D538" s="5" t="s">
        <v>1018</v>
      </c>
      <c r="E538" s="2" t="s">
        <v>18</v>
      </c>
      <c r="F538" s="2" t="s">
        <v>127</v>
      </c>
      <c r="R538" s="5" t="s">
        <v>974</v>
      </c>
    </row>
    <row r="539" spans="1:18" x14ac:dyDescent="0.25">
      <c r="A539" s="2" t="str">
        <f>"MED"&amp;TEXT(Table35[[#This Row],[Count]],"000")&amp;"."&amp;IF(Table35[[#This Row],[Category]]="Essential","E",IF(Table35[[#This Row],[Category]]="Discretionary","D","O"))</f>
        <v>MED447.D</v>
      </c>
      <c r="B539" s="2">
        <f>MAX(Table34[Count])+ROWS(INDEX(Table35[Count],1):Table35[[#This Row],[Count]])</f>
        <v>447</v>
      </c>
      <c r="C539" s="5" t="s">
        <v>83</v>
      </c>
      <c r="D539" s="5" t="s">
        <v>1019</v>
      </c>
      <c r="E539" s="2" t="s">
        <v>18</v>
      </c>
      <c r="F539" s="2" t="s">
        <v>127</v>
      </c>
      <c r="R539" s="5" t="s">
        <v>974</v>
      </c>
    </row>
    <row r="540" spans="1:18" ht="30" x14ac:dyDescent="0.25">
      <c r="A540" s="2" t="str">
        <f>"MED"&amp;TEXT(Table35[[#This Row],[Count]],"000")&amp;"."&amp;IF(Table35[[#This Row],[Category]]="Essential","E",IF(Table35[[#This Row],[Category]]="Discretionary","D","O"))</f>
        <v>MED448.D</v>
      </c>
      <c r="B540" s="2">
        <f>MAX(Table34[Count])+ROWS(INDEX(Table35[Count],1):Table35[[#This Row],[Count]])</f>
        <v>448</v>
      </c>
      <c r="C540" s="5" t="s">
        <v>83</v>
      </c>
      <c r="D540" s="5" t="s">
        <v>1020</v>
      </c>
      <c r="E540" s="2" t="s">
        <v>18</v>
      </c>
      <c r="F540" s="2" t="s">
        <v>127</v>
      </c>
      <c r="R540" s="5" t="s">
        <v>974</v>
      </c>
    </row>
    <row r="541" spans="1:18" ht="30" x14ac:dyDescent="0.25">
      <c r="A541" s="2" t="str">
        <f>"MED"&amp;TEXT(Table35[[#This Row],[Count]],"000")&amp;"."&amp;IF(Table35[[#This Row],[Category]]="Essential","E",IF(Table35[[#This Row],[Category]]="Discretionary","D","O"))</f>
        <v>MED449.E</v>
      </c>
      <c r="B541" s="2">
        <f>MAX(Table34[Count])+ROWS(INDEX(Table35[Count],1):Table35[[#This Row],[Count]])</f>
        <v>449</v>
      </c>
      <c r="C541" s="5" t="s">
        <v>83</v>
      </c>
      <c r="D541" s="5" t="s">
        <v>1021</v>
      </c>
      <c r="E541" s="2" t="s">
        <v>13</v>
      </c>
      <c r="F541" s="2" t="s">
        <v>127</v>
      </c>
      <c r="R541" s="5" t="s">
        <v>958</v>
      </c>
    </row>
    <row r="542" spans="1:18" x14ac:dyDescent="0.25">
      <c r="A542" s="2" t="str">
        <f>"MED"&amp;TEXT(Table35[[#This Row],[Count]],"000")&amp;"."&amp;IF(Table35[[#This Row],[Category]]="Essential","E",IF(Table35[[#This Row],[Category]]="Discretionary","D","O"))</f>
        <v>MED450.E</v>
      </c>
      <c r="B542" s="2">
        <f>MAX(Table34[Count])+ROWS(INDEX(Table35[Count],1):Table35[[#This Row],[Count]])</f>
        <v>450</v>
      </c>
      <c r="C542" s="5" t="s">
        <v>83</v>
      </c>
      <c r="D542" s="5" t="s">
        <v>1022</v>
      </c>
      <c r="E542" s="2" t="s">
        <v>13</v>
      </c>
      <c r="L542" s="2" t="s">
        <v>127</v>
      </c>
      <c r="M542" s="2" t="s">
        <v>127</v>
      </c>
      <c r="N542" s="2" t="s">
        <v>127</v>
      </c>
      <c r="O542" s="2" t="s">
        <v>127</v>
      </c>
      <c r="P542" s="2" t="s">
        <v>127</v>
      </c>
      <c r="Q542" s="5" t="s">
        <v>127</v>
      </c>
    </row>
    <row r="543" spans="1:18" x14ac:dyDescent="0.25">
      <c r="A543" s="2" t="str">
        <f>"MED"&amp;TEXT(Table35[[#This Row],[Count]],"000")&amp;"."&amp;IF(Table35[[#This Row],[Category]]="Essential","E",IF(Table35[[#This Row],[Category]]="Discretionary","D","O"))</f>
        <v>MED451.E</v>
      </c>
      <c r="B543" s="2">
        <f>MAX(Table34[Count])+ROWS(INDEX(Table35[Count],1):Table35[[#This Row],[Count]])</f>
        <v>451</v>
      </c>
      <c r="C543" s="5" t="s">
        <v>83</v>
      </c>
      <c r="D543" s="5" t="s">
        <v>1023</v>
      </c>
      <c r="E543" s="2" t="s">
        <v>13</v>
      </c>
      <c r="L543" s="2" t="s">
        <v>127</v>
      </c>
      <c r="M543" s="2" t="s">
        <v>127</v>
      </c>
      <c r="N543" s="2" t="s">
        <v>127</v>
      </c>
      <c r="O543" s="2" t="s">
        <v>127</v>
      </c>
      <c r="P543" s="2" t="s">
        <v>127</v>
      </c>
      <c r="Q543" s="5" t="s">
        <v>127</v>
      </c>
      <c r="R543" s="5" t="s">
        <v>1024</v>
      </c>
    </row>
    <row r="544" spans="1:18" ht="30" x14ac:dyDescent="0.25">
      <c r="A544" s="2" t="str">
        <f>"MED"&amp;TEXT(Table35[[#This Row],[Count]],"000")&amp;"."&amp;IF(Table35[[#This Row],[Category]]="Essential","E",IF(Table35[[#This Row],[Category]]="Discretionary","D","O"))</f>
        <v>MED452.E</v>
      </c>
      <c r="B544" s="2">
        <f>MAX(Table34[Count])+ROWS(INDEX(Table35[Count],1):Table35[[#This Row],[Count]])</f>
        <v>452</v>
      </c>
      <c r="C544" s="5" t="s">
        <v>83</v>
      </c>
      <c r="D544" s="5" t="s">
        <v>1025</v>
      </c>
      <c r="E544" s="2" t="s">
        <v>13</v>
      </c>
      <c r="F544" s="2" t="s">
        <v>127</v>
      </c>
      <c r="R544" s="5" t="s">
        <v>958</v>
      </c>
    </row>
    <row r="545" spans="1:18" x14ac:dyDescent="0.25">
      <c r="A545" s="2" t="str">
        <f>"MED"&amp;TEXT(Table35[[#This Row],[Count]],"000")&amp;"."&amp;IF(Table35[[#This Row],[Category]]="Essential","E",IF(Table35[[#This Row],[Category]]="Discretionary","D","O"))</f>
        <v>MED453.E</v>
      </c>
      <c r="B545" s="2">
        <f>MAX(Table34[Count])+ROWS(INDEX(Table35[Count],1):Table35[[#This Row],[Count]])</f>
        <v>453</v>
      </c>
      <c r="C545" s="5" t="s">
        <v>83</v>
      </c>
      <c r="D545" s="5" t="s">
        <v>1026</v>
      </c>
      <c r="E545" s="2" t="s">
        <v>13</v>
      </c>
      <c r="F545" s="2" t="s">
        <v>127</v>
      </c>
      <c r="R545" s="5" t="s">
        <v>958</v>
      </c>
    </row>
    <row r="546" spans="1:18" ht="30" x14ac:dyDescent="0.25">
      <c r="A546" s="2" t="str">
        <f>"MED"&amp;TEXT(Table35[[#This Row],[Count]],"000")&amp;"."&amp;IF(Table35[[#This Row],[Category]]="Essential","E",IF(Table35[[#This Row],[Category]]="Discretionary","D","O"))</f>
        <v>MED454.E</v>
      </c>
      <c r="B546" s="2">
        <f>MAX(Table34[Count])+ROWS(INDEX(Table35[Count],1):Table35[[#This Row],[Count]])</f>
        <v>454</v>
      </c>
      <c r="C546" s="5" t="s">
        <v>83</v>
      </c>
      <c r="D546" s="5" t="s">
        <v>1027</v>
      </c>
      <c r="E546" s="2" t="s">
        <v>13</v>
      </c>
      <c r="F546" s="2" t="s">
        <v>127</v>
      </c>
      <c r="R546" s="5" t="s">
        <v>949</v>
      </c>
    </row>
    <row r="547" spans="1:18" ht="30" x14ac:dyDescent="0.25">
      <c r="A547" s="2" t="str">
        <f>"MED"&amp;TEXT(Table35[[#This Row],[Count]],"000")&amp;"."&amp;IF(Table35[[#This Row],[Category]]="Essential","E",IF(Table35[[#This Row],[Category]]="Discretionary","D","O"))</f>
        <v>MED455.O</v>
      </c>
      <c r="B547" s="2">
        <f>MAX(Table34[Count])+ROWS(INDEX(Table35[Count],1):Table35[[#This Row],[Count]])</f>
        <v>455</v>
      </c>
      <c r="C547" s="5" t="s">
        <v>83</v>
      </c>
      <c r="D547" s="5" t="s">
        <v>1028</v>
      </c>
      <c r="E547" s="2" t="s">
        <v>23</v>
      </c>
      <c r="F547" s="2" t="s">
        <v>127</v>
      </c>
      <c r="R547" s="5" t="s">
        <v>880</v>
      </c>
    </row>
    <row r="549" spans="1:18" x14ac:dyDescent="0.25">
      <c r="A549" s="58" t="s">
        <v>85</v>
      </c>
      <c r="B549" s="58"/>
      <c r="C549" s="58"/>
      <c r="D549" s="58"/>
      <c r="E549" s="58"/>
      <c r="F549" s="58"/>
      <c r="G549" s="58"/>
      <c r="H549" s="58"/>
      <c r="I549" s="58"/>
      <c r="J549" s="58"/>
      <c r="K549" s="58"/>
      <c r="L549" s="58"/>
      <c r="M549" s="58"/>
      <c r="N549" s="58"/>
      <c r="O549" s="58"/>
      <c r="P549" s="58"/>
      <c r="Q549" s="58"/>
      <c r="R549" s="58"/>
    </row>
    <row r="551" spans="1:18" x14ac:dyDescent="0.25">
      <c r="A551" s="6" t="s">
        <v>120</v>
      </c>
      <c r="B551" s="6" t="s">
        <v>121</v>
      </c>
      <c r="C551" s="7" t="s">
        <v>122</v>
      </c>
      <c r="D551" s="7" t="s">
        <v>123</v>
      </c>
      <c r="E551" s="6" t="s">
        <v>8</v>
      </c>
      <c r="F551" s="6" t="s">
        <v>124</v>
      </c>
      <c r="G551" s="6" t="s">
        <v>154</v>
      </c>
      <c r="H551" s="6" t="s">
        <v>155</v>
      </c>
      <c r="I551" s="6" t="s">
        <v>156</v>
      </c>
      <c r="J551" s="6" t="s">
        <v>157</v>
      </c>
      <c r="K551" s="6" t="s">
        <v>158</v>
      </c>
      <c r="L551" s="6" t="s">
        <v>159</v>
      </c>
      <c r="M551" s="6" t="s">
        <v>160</v>
      </c>
      <c r="N551" s="6" t="s">
        <v>161</v>
      </c>
      <c r="O551" s="6" t="s">
        <v>162</v>
      </c>
      <c r="P551" s="6" t="s">
        <v>163</v>
      </c>
      <c r="Q551" s="7" t="s">
        <v>164</v>
      </c>
      <c r="R551" s="7" t="s">
        <v>125</v>
      </c>
    </row>
    <row r="552" spans="1:18" x14ac:dyDescent="0.25">
      <c r="A552" s="2" t="str">
        <f>"MED"&amp;TEXT(Table36[[#This Row],[Count]],"000")&amp;"."&amp;IF(Table36[[#This Row],[Category]]="Essential","E",IF(Table36[[#This Row],[Category]]="Discretionary","D","O"))</f>
        <v>MED456.E</v>
      </c>
      <c r="B552" s="2">
        <f>MAX(Table35[Count])+ROWS(INDEX(Table36[Count],1):Table36[[#This Row],[Count]])</f>
        <v>456</v>
      </c>
      <c r="C552" s="5" t="s">
        <v>85</v>
      </c>
      <c r="D552" s="5" t="s">
        <v>1029</v>
      </c>
      <c r="E552" s="2" t="s">
        <v>13</v>
      </c>
      <c r="F552" s="2" t="s">
        <v>127</v>
      </c>
    </row>
    <row r="553" spans="1:18" ht="30" x14ac:dyDescent="0.25">
      <c r="A553" s="2" t="str">
        <f>"MED"&amp;TEXT(Table36[[#This Row],[Count]],"000")&amp;"."&amp;IF(Table36[[#This Row],[Category]]="Essential","E",IF(Table36[[#This Row],[Category]]="Discretionary","D","O"))</f>
        <v>MED457.E</v>
      </c>
      <c r="B553" s="2">
        <f>MAX(Table35[Count])+ROWS(INDEX(Table36[Count],1):Table36[[#This Row],[Count]])</f>
        <v>457</v>
      </c>
      <c r="C553" s="5" t="s">
        <v>85</v>
      </c>
      <c r="D553" s="5" t="s">
        <v>1030</v>
      </c>
      <c r="E553" s="2" t="s">
        <v>13</v>
      </c>
      <c r="L553" s="2" t="s">
        <v>127</v>
      </c>
      <c r="M553" s="2" t="s">
        <v>127</v>
      </c>
    </row>
    <row r="555" spans="1:18" x14ac:dyDescent="0.25">
      <c r="A555" s="58" t="s">
        <v>58</v>
      </c>
      <c r="B555" s="58"/>
      <c r="C555" s="58"/>
      <c r="D555" s="58"/>
      <c r="E555" s="58"/>
      <c r="F555" s="58"/>
      <c r="G555" s="58"/>
      <c r="H555" s="58"/>
      <c r="I555" s="58"/>
      <c r="J555" s="58"/>
      <c r="K555" s="58"/>
      <c r="L555" s="58"/>
      <c r="M555" s="58"/>
      <c r="N555" s="58"/>
      <c r="O555" s="58"/>
      <c r="P555" s="58"/>
      <c r="Q555" s="58"/>
      <c r="R555" s="58"/>
    </row>
    <row r="557" spans="1:18" x14ac:dyDescent="0.25">
      <c r="A557" s="6" t="s">
        <v>120</v>
      </c>
      <c r="B557" s="6" t="s">
        <v>121</v>
      </c>
      <c r="C557" s="7" t="s">
        <v>122</v>
      </c>
      <c r="D557" s="7" t="s">
        <v>123</v>
      </c>
      <c r="E557" s="6" t="s">
        <v>8</v>
      </c>
      <c r="F557" s="6" t="s">
        <v>124</v>
      </c>
      <c r="G557" s="6" t="s">
        <v>154</v>
      </c>
      <c r="H557" s="6" t="s">
        <v>155</v>
      </c>
      <c r="I557" s="6" t="s">
        <v>156</v>
      </c>
      <c r="J557" s="6" t="s">
        <v>157</v>
      </c>
      <c r="K557" s="6" t="s">
        <v>158</v>
      </c>
      <c r="L557" s="6" t="s">
        <v>159</v>
      </c>
      <c r="M557" s="6" t="s">
        <v>160</v>
      </c>
      <c r="N557" s="6" t="s">
        <v>161</v>
      </c>
      <c r="O557" s="6" t="s">
        <v>162</v>
      </c>
      <c r="P557" s="6" t="s">
        <v>163</v>
      </c>
      <c r="Q557" s="7" t="s">
        <v>164</v>
      </c>
      <c r="R557" s="7" t="s">
        <v>125</v>
      </c>
    </row>
    <row r="558" spans="1:18" x14ac:dyDescent="0.25">
      <c r="A558" s="2" t="str">
        <f>"MED"&amp;TEXT(Table37[[#This Row],[Count]],"000")&amp;"."&amp;IF(Table37[[#This Row],[Category]]="Essential","E",IF(Table37[[#This Row],[Category]]="Discretionary","D","O"))</f>
        <v>MED458.E</v>
      </c>
      <c r="B558" s="2">
        <f>MAX(Table36[Count])+ROWS(INDEX(Table37[Count],1):Table37[[#This Row],[Count]])</f>
        <v>458</v>
      </c>
      <c r="C558" s="5" t="s">
        <v>58</v>
      </c>
      <c r="D558" s="5" t="s">
        <v>1031</v>
      </c>
      <c r="E558" s="2" t="s">
        <v>13</v>
      </c>
      <c r="F558" s="2" t="s">
        <v>127</v>
      </c>
    </row>
    <row r="559" spans="1:18" ht="30" x14ac:dyDescent="0.25">
      <c r="A559" s="2" t="str">
        <f>"MED"&amp;TEXT(Table37[[#This Row],[Count]],"000")&amp;"."&amp;IF(Table37[[#This Row],[Category]]="Essential","E",IF(Table37[[#This Row],[Category]]="Discretionary","D","O"))</f>
        <v>MED459.O</v>
      </c>
      <c r="B559" s="2">
        <f>MAX(Table36[Count])+ROWS(INDEX(Table37[Count],1):Table37[[#This Row],[Count]])</f>
        <v>459</v>
      </c>
      <c r="C559" s="5" t="s">
        <v>58</v>
      </c>
      <c r="D559" s="5" t="s">
        <v>1032</v>
      </c>
      <c r="E559" s="2" t="s">
        <v>23</v>
      </c>
      <c r="P559" s="2" t="s">
        <v>127</v>
      </c>
      <c r="Q559" s="5" t="s">
        <v>127</v>
      </c>
      <c r="R559" s="5" t="s">
        <v>1033</v>
      </c>
    </row>
    <row r="560" spans="1:18" x14ac:dyDescent="0.25">
      <c r="A560" s="2" t="str">
        <f>"MED"&amp;TEXT(Table37[[#This Row],[Count]],"000")&amp;"."&amp;IF(Table37[[#This Row],[Category]]="Essential","E",IF(Table37[[#This Row],[Category]]="Discretionary","D","O"))</f>
        <v>MED460.E</v>
      </c>
      <c r="B560" s="2">
        <f>MAX(Table36[Count])+ROWS(INDEX(Table37[Count],1):Table37[[#This Row],[Count]])</f>
        <v>460</v>
      </c>
      <c r="C560" s="5" t="s">
        <v>58</v>
      </c>
      <c r="D560" s="5" t="s">
        <v>1034</v>
      </c>
      <c r="E560" s="2" t="s">
        <v>13</v>
      </c>
      <c r="M560" s="2" t="s">
        <v>127</v>
      </c>
      <c r="N560" s="2" t="s">
        <v>127</v>
      </c>
    </row>
    <row r="561" spans="1:18" x14ac:dyDescent="0.25">
      <c r="A561" s="2" t="str">
        <f>"MED"&amp;TEXT(Table37[[#This Row],[Count]],"000")&amp;"."&amp;IF(Table37[[#This Row],[Category]]="Essential","E",IF(Table37[[#This Row],[Category]]="Discretionary","D","O"))</f>
        <v>MED461.E</v>
      </c>
      <c r="B561" s="2">
        <f>MAX(Table36[Count])+ROWS(INDEX(Table37[Count],1):Table37[[#This Row],[Count]])</f>
        <v>461</v>
      </c>
      <c r="C561" s="5" t="s">
        <v>58</v>
      </c>
      <c r="D561" s="5" t="s">
        <v>1035</v>
      </c>
      <c r="E561" s="2" t="s">
        <v>13</v>
      </c>
      <c r="L561" s="2" t="s">
        <v>127</v>
      </c>
      <c r="M561" s="2" t="s">
        <v>127</v>
      </c>
      <c r="N561" s="2" t="s">
        <v>127</v>
      </c>
      <c r="O561" s="2" t="s">
        <v>127</v>
      </c>
      <c r="P561" s="2" t="s">
        <v>127</v>
      </c>
      <c r="Q561" s="5" t="s">
        <v>127</v>
      </c>
    </row>
    <row r="562" spans="1:18" ht="30" x14ac:dyDescent="0.25">
      <c r="A562" s="2" t="str">
        <f>"MED"&amp;TEXT(Table37[[#This Row],[Count]],"000")&amp;"."&amp;IF(Table37[[#This Row],[Category]]="Essential","E",IF(Table37[[#This Row],[Category]]="Discretionary","D","O"))</f>
        <v>MED462.E</v>
      </c>
      <c r="B562" s="2">
        <f>MAX(Table36[Count])+ROWS(INDEX(Table37[Count],1):Table37[[#This Row],[Count]])</f>
        <v>462</v>
      </c>
      <c r="C562" s="5" t="s">
        <v>58</v>
      </c>
      <c r="D562" s="5" t="s">
        <v>1036</v>
      </c>
      <c r="E562" s="2" t="s">
        <v>13</v>
      </c>
      <c r="M562" s="2" t="s">
        <v>127</v>
      </c>
      <c r="O562" s="2" t="s">
        <v>127</v>
      </c>
      <c r="R562" s="5" t="s">
        <v>1037</v>
      </c>
    </row>
    <row r="563" spans="1:18" ht="30" x14ac:dyDescent="0.25">
      <c r="A563" s="2" t="str">
        <f>"MED"&amp;TEXT(Table37[[#This Row],[Count]],"000")&amp;"."&amp;IF(Table37[[#This Row],[Category]]="Essential","E",IF(Table37[[#This Row],[Category]]="Discretionary","D","O"))</f>
        <v>MED463.O</v>
      </c>
      <c r="B563" s="2">
        <f>MAX(Table36[Count])+ROWS(INDEX(Table37[Count],1):Table37[[#This Row],[Count]])</f>
        <v>463</v>
      </c>
      <c r="C563" s="5" t="s">
        <v>58</v>
      </c>
      <c r="D563" s="5" t="s">
        <v>1038</v>
      </c>
      <c r="E563" s="2" t="s">
        <v>23</v>
      </c>
      <c r="F563" s="2" t="s">
        <v>127</v>
      </c>
      <c r="L563" s="2" t="s">
        <v>127</v>
      </c>
      <c r="M563" s="2" t="s">
        <v>127</v>
      </c>
      <c r="N563" s="2" t="s">
        <v>127</v>
      </c>
      <c r="O563" s="2" t="s">
        <v>127</v>
      </c>
      <c r="R563" s="5" t="s">
        <v>1039</v>
      </c>
    </row>
    <row r="564" spans="1:18" x14ac:dyDescent="0.25">
      <c r="A564" s="2" t="str">
        <f>"MED"&amp;TEXT(Table37[[#This Row],[Count]],"000")&amp;"."&amp;IF(Table37[[#This Row],[Category]]="Essential","E",IF(Table37[[#This Row],[Category]]="Discretionary","D","O"))</f>
        <v>MED464.E</v>
      </c>
      <c r="B564" s="2">
        <f>MAX(Table36[Count])+ROWS(INDEX(Table37[Count],1):Table37[[#This Row],[Count]])</f>
        <v>464</v>
      </c>
      <c r="C564" s="5" t="s">
        <v>58</v>
      </c>
      <c r="D564" s="5" t="s">
        <v>1040</v>
      </c>
      <c r="E564" s="2" t="s">
        <v>13</v>
      </c>
      <c r="L564" s="2" t="s">
        <v>127</v>
      </c>
      <c r="M564" s="2" t="s">
        <v>127</v>
      </c>
      <c r="N564" s="2" t="s">
        <v>127</v>
      </c>
      <c r="O564" s="2" t="s">
        <v>127</v>
      </c>
      <c r="P564" s="2" t="s">
        <v>127</v>
      </c>
      <c r="Q564" s="5" t="s">
        <v>127</v>
      </c>
      <c r="R564" s="5" t="s">
        <v>1041</v>
      </c>
    </row>
    <row r="565" spans="1:18" ht="30" x14ac:dyDescent="0.25">
      <c r="A565" s="2" t="str">
        <f>"MED"&amp;TEXT(Table37[[#This Row],[Count]],"000")&amp;"."&amp;IF(Table37[[#This Row],[Category]]="Essential","E",IF(Table37[[#This Row],[Category]]="Discretionary","D","O"))</f>
        <v>MED465.E</v>
      </c>
      <c r="B565" s="2">
        <f>MAX(Table36[Count])+ROWS(INDEX(Table37[Count],1):Table37[[#This Row],[Count]])</f>
        <v>465</v>
      </c>
      <c r="C565" s="5" t="s">
        <v>58</v>
      </c>
      <c r="D565" s="5" t="s">
        <v>1042</v>
      </c>
      <c r="E565" s="2" t="s">
        <v>13</v>
      </c>
      <c r="L565" s="2" t="s">
        <v>127</v>
      </c>
      <c r="M565" s="2" t="s">
        <v>127</v>
      </c>
      <c r="N565" s="2" t="s">
        <v>127</v>
      </c>
      <c r="O565" s="2" t="s">
        <v>127</v>
      </c>
      <c r="P565" s="2" t="s">
        <v>127</v>
      </c>
      <c r="Q565" s="5" t="s">
        <v>127</v>
      </c>
    </row>
    <row r="567" spans="1:18" x14ac:dyDescent="0.25">
      <c r="A567" s="58" t="s">
        <v>87</v>
      </c>
      <c r="B567" s="58"/>
      <c r="C567" s="58"/>
      <c r="D567" s="58"/>
      <c r="E567" s="58"/>
      <c r="F567" s="58"/>
      <c r="G567" s="58"/>
      <c r="H567" s="58"/>
      <c r="I567" s="58"/>
      <c r="J567" s="58"/>
      <c r="K567" s="58"/>
      <c r="L567" s="58"/>
      <c r="M567" s="58"/>
      <c r="N567" s="58"/>
      <c r="O567" s="58"/>
      <c r="P567" s="58"/>
      <c r="Q567" s="58"/>
      <c r="R567" s="58"/>
    </row>
    <row r="569" spans="1:18" x14ac:dyDescent="0.25">
      <c r="A569" s="6" t="s">
        <v>120</v>
      </c>
      <c r="B569" s="6" t="s">
        <v>121</v>
      </c>
      <c r="C569" s="7" t="s">
        <v>122</v>
      </c>
      <c r="D569" s="7" t="s">
        <v>123</v>
      </c>
      <c r="E569" s="6" t="s">
        <v>8</v>
      </c>
      <c r="F569" s="6" t="s">
        <v>124</v>
      </c>
      <c r="G569" s="6" t="s">
        <v>154</v>
      </c>
      <c r="H569" s="6" t="s">
        <v>155</v>
      </c>
      <c r="I569" s="6" t="s">
        <v>156</v>
      </c>
      <c r="J569" s="6" t="s">
        <v>157</v>
      </c>
      <c r="K569" s="6" t="s">
        <v>158</v>
      </c>
      <c r="L569" s="6" t="s">
        <v>159</v>
      </c>
      <c r="M569" s="6" t="s">
        <v>160</v>
      </c>
      <c r="N569" s="6" t="s">
        <v>161</v>
      </c>
      <c r="O569" s="6" t="s">
        <v>162</v>
      </c>
      <c r="P569" s="6" t="s">
        <v>163</v>
      </c>
      <c r="Q569" s="7" t="s">
        <v>164</v>
      </c>
      <c r="R569" s="7" t="s">
        <v>125</v>
      </c>
    </row>
    <row r="570" spans="1:18" ht="30" x14ac:dyDescent="0.25">
      <c r="A570" s="2" t="str">
        <f>"MED"&amp;TEXT(Table38[[#This Row],[Count]],"000")&amp;"."&amp;IF(Table38[[#This Row],[Category]]="Essential","E",IF(Table38[[#This Row],[Category]]="Discretionary","D","O"))</f>
        <v>MED466.E</v>
      </c>
      <c r="B570" s="2">
        <f>MAX(Table37[Count])+ROWS(INDEX(Table38[Count],1):Table38[[#This Row],[Count]])</f>
        <v>466</v>
      </c>
      <c r="C570" s="5" t="s">
        <v>87</v>
      </c>
      <c r="D570" s="5" t="s">
        <v>1043</v>
      </c>
      <c r="E570" s="2" t="s">
        <v>13</v>
      </c>
      <c r="L570" s="2" t="s">
        <v>127</v>
      </c>
      <c r="M570" s="2" t="s">
        <v>127</v>
      </c>
      <c r="N570" s="2" t="s">
        <v>127</v>
      </c>
      <c r="O570" s="2" t="s">
        <v>127</v>
      </c>
      <c r="R570" s="5" t="s">
        <v>1044</v>
      </c>
    </row>
    <row r="571" spans="1:18" x14ac:dyDescent="0.25">
      <c r="A571" s="2" t="str">
        <f>"MED"&amp;TEXT(Table38[[#This Row],[Count]],"000")&amp;"."&amp;IF(Table38[[#This Row],[Category]]="Essential","E",IF(Table38[[#This Row],[Category]]="Discretionary","D","O"))</f>
        <v>MED467.E</v>
      </c>
      <c r="B571" s="2">
        <f>MAX(Table37[Count])+ROWS(INDEX(Table38[Count],1):Table38[[#This Row],[Count]])</f>
        <v>467</v>
      </c>
      <c r="C571" s="5" t="s">
        <v>87</v>
      </c>
      <c r="D571" s="5" t="s">
        <v>1045</v>
      </c>
      <c r="E571" s="2" t="s">
        <v>13</v>
      </c>
      <c r="M571" s="2" t="s">
        <v>127</v>
      </c>
      <c r="N571" s="2" t="s">
        <v>127</v>
      </c>
      <c r="O571" s="2" t="s">
        <v>127</v>
      </c>
      <c r="P571" s="2" t="s">
        <v>127</v>
      </c>
      <c r="R571" s="5" t="s">
        <v>1046</v>
      </c>
    </row>
    <row r="572" spans="1:18" x14ac:dyDescent="0.25">
      <c r="A572" s="2" t="str">
        <f>"MED"&amp;TEXT(Table38[[#This Row],[Count]],"000")&amp;"."&amp;IF(Table38[[#This Row],[Category]]="Essential","E",IF(Table38[[#This Row],[Category]]="Discretionary","D","O"))</f>
        <v>MED468.E</v>
      </c>
      <c r="B572" s="2">
        <f>MAX(Table37[Count])+ROWS(INDEX(Table38[Count],1):Table38[[#This Row],[Count]])</f>
        <v>468</v>
      </c>
      <c r="C572" s="5" t="s">
        <v>87</v>
      </c>
      <c r="D572" s="5" t="s">
        <v>1047</v>
      </c>
      <c r="E572" s="2" t="s">
        <v>13</v>
      </c>
      <c r="M572" s="2" t="s">
        <v>127</v>
      </c>
      <c r="N572" s="2" t="s">
        <v>127</v>
      </c>
      <c r="O572" s="2" t="s">
        <v>127</v>
      </c>
      <c r="P572" s="2" t="s">
        <v>127</v>
      </c>
      <c r="R572" s="5" t="s">
        <v>1048</v>
      </c>
    </row>
    <row r="573" spans="1:18" x14ac:dyDescent="0.25">
      <c r="A573" s="2" t="str">
        <f>"MED"&amp;TEXT(Table38[[#This Row],[Count]],"000")&amp;"."&amp;IF(Table38[[#This Row],[Category]]="Essential","E",IF(Table38[[#This Row],[Category]]="Discretionary","D","O"))</f>
        <v>MED469.E</v>
      </c>
      <c r="B573" s="2">
        <f>MAX(Table37[Count])+ROWS(INDEX(Table38[Count],1):Table38[[#This Row],[Count]])</f>
        <v>469</v>
      </c>
      <c r="C573" s="5" t="s">
        <v>87</v>
      </c>
      <c r="D573" s="5" t="s">
        <v>1049</v>
      </c>
      <c r="E573" s="2" t="s">
        <v>13</v>
      </c>
      <c r="M573" s="2" t="s">
        <v>127</v>
      </c>
      <c r="N573" s="2" t="s">
        <v>127</v>
      </c>
      <c r="O573" s="2" t="s">
        <v>127</v>
      </c>
      <c r="P573" s="2" t="s">
        <v>127</v>
      </c>
    </row>
    <row r="574" spans="1:18" x14ac:dyDescent="0.25">
      <c r="A574" s="2" t="str">
        <f>"MED"&amp;TEXT(Table38[[#This Row],[Count]],"000")&amp;"."&amp;IF(Table38[[#This Row],[Category]]="Essential","E",IF(Table38[[#This Row],[Category]]="Discretionary","D","O"))</f>
        <v>MED470.E</v>
      </c>
      <c r="B574" s="2">
        <f>MAX(Table37[Count])+ROWS(INDEX(Table38[Count],1):Table38[[#This Row],[Count]])</f>
        <v>470</v>
      </c>
      <c r="C574" s="5" t="s">
        <v>87</v>
      </c>
      <c r="D574" s="5" t="s">
        <v>1050</v>
      </c>
      <c r="E574" s="2" t="s">
        <v>13</v>
      </c>
      <c r="M574" s="2" t="s">
        <v>127</v>
      </c>
      <c r="N574" s="2" t="s">
        <v>127</v>
      </c>
      <c r="O574" s="2" t="s">
        <v>127</v>
      </c>
      <c r="P574" s="2" t="s">
        <v>127</v>
      </c>
      <c r="R574" s="5" t="s">
        <v>1051</v>
      </c>
    </row>
    <row r="576" spans="1:18" x14ac:dyDescent="0.25">
      <c r="A576" s="58" t="s">
        <v>90</v>
      </c>
      <c r="B576" s="58"/>
      <c r="C576" s="58"/>
      <c r="D576" s="58"/>
      <c r="E576" s="58"/>
      <c r="F576" s="58"/>
      <c r="G576" s="58"/>
      <c r="H576" s="58"/>
      <c r="I576" s="58"/>
      <c r="J576" s="58"/>
      <c r="K576" s="58"/>
      <c r="L576" s="58"/>
      <c r="M576" s="58"/>
      <c r="N576" s="58"/>
      <c r="O576" s="58"/>
      <c r="P576" s="58"/>
      <c r="Q576" s="58"/>
      <c r="R576" s="58"/>
    </row>
    <row r="578" spans="1:18" x14ac:dyDescent="0.25">
      <c r="A578" s="6" t="s">
        <v>120</v>
      </c>
      <c r="B578" s="6" t="s">
        <v>121</v>
      </c>
      <c r="C578" s="7" t="s">
        <v>122</v>
      </c>
      <c r="D578" s="7" t="s">
        <v>123</v>
      </c>
      <c r="E578" s="6" t="s">
        <v>8</v>
      </c>
      <c r="F578" s="6" t="s">
        <v>124</v>
      </c>
      <c r="G578" s="6" t="s">
        <v>154</v>
      </c>
      <c r="H578" s="6" t="s">
        <v>155</v>
      </c>
      <c r="I578" s="6" t="s">
        <v>156</v>
      </c>
      <c r="J578" s="6" t="s">
        <v>157</v>
      </c>
      <c r="K578" s="6" t="s">
        <v>158</v>
      </c>
      <c r="L578" s="6" t="s">
        <v>159</v>
      </c>
      <c r="M578" s="6" t="s">
        <v>160</v>
      </c>
      <c r="N578" s="6" t="s">
        <v>161</v>
      </c>
      <c r="O578" s="6" t="s">
        <v>162</v>
      </c>
      <c r="P578" s="6" t="s">
        <v>163</v>
      </c>
      <c r="Q578" s="7" t="s">
        <v>164</v>
      </c>
      <c r="R578" s="7" t="s">
        <v>125</v>
      </c>
    </row>
    <row r="579" spans="1:18" x14ac:dyDescent="0.25">
      <c r="A579" s="2" t="str">
        <f>"MED"&amp;TEXT(Table39[[#This Row],[Count]],"000")&amp;"."&amp;IF(Table39[[#This Row],[Category]]="Essential","E",IF(Table39[[#This Row],[Category]]="Discretionary","D","O"))</f>
        <v>MED471.E</v>
      </c>
      <c r="B579" s="2">
        <f>MAX(Table38[Count])+ROWS(INDEX(Table39[Count],1):Table39[[#This Row],[Count]])</f>
        <v>471</v>
      </c>
      <c r="C579" s="5" t="s">
        <v>90</v>
      </c>
      <c r="D579" s="5" t="s">
        <v>1052</v>
      </c>
      <c r="E579" s="2" t="s">
        <v>13</v>
      </c>
      <c r="F579" s="2" t="s">
        <v>127</v>
      </c>
    </row>
    <row r="580" spans="1:18" ht="30" x14ac:dyDescent="0.25">
      <c r="A580" s="2" t="str">
        <f>"MED"&amp;TEXT(Table39[[#This Row],[Count]],"000")&amp;"."&amp;IF(Table39[[#This Row],[Category]]="Essential","E",IF(Table39[[#This Row],[Category]]="Discretionary","D","O"))</f>
        <v>MED472.E</v>
      </c>
      <c r="B580" s="2">
        <f>MAX(Table38[Count])+ROWS(INDEX(Table39[Count],1):Table39[[#This Row],[Count]])</f>
        <v>472</v>
      </c>
      <c r="C580" s="5" t="s">
        <v>90</v>
      </c>
      <c r="D580" s="5" t="s">
        <v>978</v>
      </c>
      <c r="E580" s="2" t="s">
        <v>13</v>
      </c>
      <c r="L580" s="2" t="s">
        <v>127</v>
      </c>
      <c r="M580" s="2" t="s">
        <v>127</v>
      </c>
      <c r="N580" s="2" t="s">
        <v>127</v>
      </c>
      <c r="O580" s="2" t="s">
        <v>127</v>
      </c>
      <c r="P580" s="2" t="s">
        <v>127</v>
      </c>
      <c r="Q580" s="5" t="s">
        <v>127</v>
      </c>
    </row>
    <row r="581" spans="1:18" ht="60" x14ac:dyDescent="0.25">
      <c r="A581" s="2" t="str">
        <f>"MED"&amp;TEXT(Table39[[#This Row],[Count]],"000")&amp;"."&amp;IF(Table39[[#This Row],[Category]]="Essential","E",IF(Table39[[#This Row],[Category]]="Discretionary","D","O"))</f>
        <v>MED473.E</v>
      </c>
      <c r="B581" s="2">
        <f>MAX(Table38[Count])+ROWS(INDEX(Table39[Count],1):Table39[[#This Row],[Count]])</f>
        <v>473</v>
      </c>
      <c r="C581" s="5" t="s">
        <v>90</v>
      </c>
      <c r="D581" s="5" t="s">
        <v>1053</v>
      </c>
      <c r="E581" s="2" t="s">
        <v>13</v>
      </c>
      <c r="F581" s="2" t="s">
        <v>127</v>
      </c>
    </row>
    <row r="582" spans="1:18" ht="45" x14ac:dyDescent="0.25">
      <c r="A582" s="2" t="str">
        <f>"MED"&amp;TEXT(Table39[[#This Row],[Count]],"000")&amp;"."&amp;IF(Table39[[#This Row],[Category]]="Essential","E",IF(Table39[[#This Row],[Category]]="Discretionary","D","O"))</f>
        <v>MED474.E</v>
      </c>
      <c r="B582" s="2">
        <f>MAX(Table38[Count])+ROWS(INDEX(Table39[Count],1):Table39[[#This Row],[Count]])</f>
        <v>474</v>
      </c>
      <c r="C582" s="5" t="s">
        <v>90</v>
      </c>
      <c r="D582" s="5" t="s">
        <v>1054</v>
      </c>
      <c r="E582" s="2" t="s">
        <v>13</v>
      </c>
      <c r="F582" s="2" t="s">
        <v>127</v>
      </c>
    </row>
    <row r="583" spans="1:18" ht="45" x14ac:dyDescent="0.25">
      <c r="A583" s="2" t="str">
        <f>"MED"&amp;TEXT(Table39[[#This Row],[Count]],"000")&amp;"."&amp;IF(Table39[[#This Row],[Category]]="Essential","E",IF(Table39[[#This Row],[Category]]="Discretionary","D","O"))</f>
        <v>MED475.E</v>
      </c>
      <c r="B583" s="2">
        <f>MAX(Table38[Count])+ROWS(INDEX(Table39[Count],1):Table39[[#This Row],[Count]])</f>
        <v>475</v>
      </c>
      <c r="C583" s="5" t="s">
        <v>90</v>
      </c>
      <c r="D583" s="5" t="s">
        <v>1055</v>
      </c>
      <c r="E583" s="2" t="s">
        <v>13</v>
      </c>
      <c r="F583" s="2" t="s">
        <v>127</v>
      </c>
    </row>
    <row r="584" spans="1:18" ht="45" x14ac:dyDescent="0.25">
      <c r="A584" s="2" t="str">
        <f>"MED"&amp;TEXT(Table39[[#This Row],[Count]],"000")&amp;"."&amp;IF(Table39[[#This Row],[Category]]="Essential","E",IF(Table39[[#This Row],[Category]]="Discretionary","D","O"))</f>
        <v>MED476.E</v>
      </c>
      <c r="B584" s="2">
        <f>MAX(Table38[Count])+ROWS(INDEX(Table39[Count],1):Table39[[#This Row],[Count]])</f>
        <v>476</v>
      </c>
      <c r="C584" s="5" t="s">
        <v>90</v>
      </c>
      <c r="D584" s="5" t="s">
        <v>1056</v>
      </c>
      <c r="E584" s="2" t="s">
        <v>13</v>
      </c>
      <c r="F584" s="2" t="s">
        <v>127</v>
      </c>
    </row>
    <row r="585" spans="1:18" ht="45" x14ac:dyDescent="0.25">
      <c r="A585" s="2" t="str">
        <f>"MED"&amp;TEXT(Table39[[#This Row],[Count]],"000")&amp;"."&amp;IF(Table39[[#This Row],[Category]]="Essential","E",IF(Table39[[#This Row],[Category]]="Discretionary","D","O"))</f>
        <v>MED477.E</v>
      </c>
      <c r="B585" s="2">
        <f>MAX(Table38[Count])+ROWS(INDEX(Table39[Count],1):Table39[[#This Row],[Count]])</f>
        <v>477</v>
      </c>
      <c r="C585" s="5" t="s">
        <v>90</v>
      </c>
      <c r="D585" s="5" t="s">
        <v>1057</v>
      </c>
      <c r="E585" s="2" t="s">
        <v>13</v>
      </c>
      <c r="F585" s="2" t="s">
        <v>127</v>
      </c>
    </row>
    <row r="586" spans="1:18" ht="60" x14ac:dyDescent="0.25">
      <c r="A586" s="2" t="str">
        <f>"MED"&amp;TEXT(Table39[[#This Row],[Count]],"000")&amp;"."&amp;IF(Table39[[#This Row],[Category]]="Essential","E",IF(Table39[[#This Row],[Category]]="Discretionary","D","O"))</f>
        <v>MED478.E</v>
      </c>
      <c r="B586" s="2">
        <f>MAX(Table38[Count])+ROWS(INDEX(Table39[Count],1):Table39[[#This Row],[Count]])</f>
        <v>478</v>
      </c>
      <c r="C586" s="5" t="s">
        <v>90</v>
      </c>
      <c r="D586" s="5" t="s">
        <v>1058</v>
      </c>
      <c r="E586" s="2" t="s">
        <v>13</v>
      </c>
      <c r="F586" s="2" t="s">
        <v>127</v>
      </c>
    </row>
    <row r="587" spans="1:18" x14ac:dyDescent="0.25">
      <c r="A587" s="2" t="str">
        <f>"MED"&amp;TEXT(Table39[[#This Row],[Count]],"000")&amp;"."&amp;IF(Table39[[#This Row],[Category]]="Essential","E",IF(Table39[[#This Row],[Category]]="Discretionary","D","O"))</f>
        <v>MED479.E</v>
      </c>
      <c r="B587" s="2">
        <f>MAX(Table38[Count])+ROWS(INDEX(Table39[Count],1):Table39[[#This Row],[Count]])</f>
        <v>479</v>
      </c>
      <c r="C587" s="5" t="s">
        <v>90</v>
      </c>
      <c r="D587" s="5" t="s">
        <v>1059</v>
      </c>
      <c r="E587" s="2" t="s">
        <v>13</v>
      </c>
      <c r="F587" s="2" t="s">
        <v>127</v>
      </c>
    </row>
    <row r="588" spans="1:18" x14ac:dyDescent="0.25">
      <c r="A588" s="2" t="str">
        <f>"MED"&amp;TEXT(Table39[[#This Row],[Count]],"000")&amp;"."&amp;IF(Table39[[#This Row],[Category]]="Essential","E",IF(Table39[[#This Row],[Category]]="Discretionary","D","O"))</f>
        <v>MED480.E</v>
      </c>
      <c r="B588" s="2">
        <f>MAX(Table38[Count])+ROWS(INDEX(Table39[Count],1):Table39[[#This Row],[Count]])</f>
        <v>480</v>
      </c>
      <c r="C588" s="5" t="s">
        <v>90</v>
      </c>
      <c r="D588" s="5" t="s">
        <v>986</v>
      </c>
      <c r="E588" s="2" t="s">
        <v>13</v>
      </c>
      <c r="L588" s="2" t="s">
        <v>127</v>
      </c>
      <c r="M588" s="2" t="s">
        <v>127</v>
      </c>
      <c r="N588" s="2" t="s">
        <v>127</v>
      </c>
      <c r="O588" s="2" t="s">
        <v>127</v>
      </c>
      <c r="P588" s="2" t="s">
        <v>127</v>
      </c>
      <c r="Q588" s="5" t="s">
        <v>127</v>
      </c>
    </row>
    <row r="589" spans="1:18" x14ac:dyDescent="0.25">
      <c r="A589" s="2" t="str">
        <f>"MED"&amp;TEXT(Table39[[#This Row],[Count]],"000")&amp;"."&amp;IF(Table39[[#This Row],[Category]]="Essential","E",IF(Table39[[#This Row],[Category]]="Discretionary","D","O"))</f>
        <v>MED481.E</v>
      </c>
      <c r="B589" s="2">
        <f>MAX(Table38[Count])+ROWS(INDEX(Table39[Count],1):Table39[[#This Row],[Count]])</f>
        <v>481</v>
      </c>
      <c r="C589" s="5" t="s">
        <v>90</v>
      </c>
      <c r="D589" s="5" t="s">
        <v>989</v>
      </c>
      <c r="E589" s="2" t="s">
        <v>13</v>
      </c>
      <c r="L589" s="2" t="s">
        <v>127</v>
      </c>
      <c r="M589" s="2" t="s">
        <v>127</v>
      </c>
      <c r="N589" s="2" t="s">
        <v>127</v>
      </c>
      <c r="O589" s="2" t="s">
        <v>127</v>
      </c>
      <c r="P589" s="2" t="s">
        <v>127</v>
      </c>
      <c r="Q589" s="5" t="s">
        <v>127</v>
      </c>
    </row>
    <row r="590" spans="1:18" x14ac:dyDescent="0.25">
      <c r="A590" s="2" t="str">
        <f>"MED"&amp;TEXT(Table39[[#This Row],[Count]],"000")&amp;"."&amp;IF(Table39[[#This Row],[Category]]="Essential","E",IF(Table39[[#This Row],[Category]]="Discretionary","D","O"))</f>
        <v>MED482.E</v>
      </c>
      <c r="B590" s="2">
        <f>MAX(Table38[Count])+ROWS(INDEX(Table39[Count],1):Table39[[#This Row],[Count]])</f>
        <v>482</v>
      </c>
      <c r="C590" s="5" t="s">
        <v>90</v>
      </c>
      <c r="D590" s="5" t="s">
        <v>1060</v>
      </c>
      <c r="E590" s="2" t="s">
        <v>13</v>
      </c>
      <c r="F590" s="2" t="s">
        <v>127</v>
      </c>
    </row>
    <row r="591" spans="1:18" ht="30" x14ac:dyDescent="0.25">
      <c r="A591" s="2" t="str">
        <f>"MED"&amp;TEXT(Table39[[#This Row],[Count]],"000")&amp;"."&amp;IF(Table39[[#This Row],[Category]]="Essential","E",IF(Table39[[#This Row],[Category]]="Discretionary","D","O"))</f>
        <v>MED483.E</v>
      </c>
      <c r="B591" s="2">
        <f>MAX(Table38[Count])+ROWS(INDEX(Table39[Count],1):Table39[[#This Row],[Count]])</f>
        <v>483</v>
      </c>
      <c r="C591" s="5" t="s">
        <v>90</v>
      </c>
      <c r="D591" s="5" t="s">
        <v>1061</v>
      </c>
      <c r="E591" s="2" t="s">
        <v>13</v>
      </c>
      <c r="F591" s="2" t="s">
        <v>127</v>
      </c>
      <c r="G591" s="2" t="s">
        <v>127</v>
      </c>
      <c r="H591" s="2" t="s">
        <v>127</v>
      </c>
      <c r="L591" s="2" t="s">
        <v>127</v>
      </c>
      <c r="M591" s="2" t="s">
        <v>127</v>
      </c>
      <c r="N591" s="2" t="s">
        <v>127</v>
      </c>
      <c r="O591" s="2" t="s">
        <v>127</v>
      </c>
      <c r="P591" s="2" t="s">
        <v>127</v>
      </c>
      <c r="Q591" s="5" t="s">
        <v>127</v>
      </c>
    </row>
    <row r="592" spans="1:18" ht="30" x14ac:dyDescent="0.25">
      <c r="A592" s="2" t="str">
        <f>"MED"&amp;TEXT(Table39[[#This Row],[Count]],"000")&amp;"."&amp;IF(Table39[[#This Row],[Category]]="Essential","E",IF(Table39[[#This Row],[Category]]="Discretionary","D","O"))</f>
        <v>MED484.E</v>
      </c>
      <c r="B592" s="2">
        <f>MAX(Table38[Count])+ROWS(INDEX(Table39[Count],1):Table39[[#This Row],[Count]])</f>
        <v>484</v>
      </c>
      <c r="C592" s="5" t="s">
        <v>90</v>
      </c>
      <c r="D592" s="5" t="s">
        <v>1062</v>
      </c>
      <c r="E592" s="2" t="s">
        <v>13</v>
      </c>
      <c r="F592" s="2" t="s">
        <v>127</v>
      </c>
    </row>
    <row r="593" spans="1:18" x14ac:dyDescent="0.25">
      <c r="A593" s="2" t="str">
        <f>"MED"&amp;TEXT(Table39[[#This Row],[Count]],"000")&amp;"."&amp;IF(Table39[[#This Row],[Category]]="Essential","E",IF(Table39[[#This Row],[Category]]="Discretionary","D","O"))</f>
        <v>MED485.E</v>
      </c>
      <c r="B593" s="2">
        <f>MAX(Table38[Count])+ROWS(INDEX(Table39[Count],1):Table39[[#This Row],[Count]])</f>
        <v>485</v>
      </c>
      <c r="C593" s="5" t="s">
        <v>90</v>
      </c>
      <c r="D593" s="5" t="s">
        <v>1063</v>
      </c>
      <c r="E593" s="2" t="s">
        <v>13</v>
      </c>
      <c r="L593" s="2" t="s">
        <v>127</v>
      </c>
      <c r="M593" s="2" t="s">
        <v>127</v>
      </c>
      <c r="N593" s="2" t="s">
        <v>127</v>
      </c>
      <c r="O593" s="2" t="s">
        <v>127</v>
      </c>
      <c r="P593" s="2" t="s">
        <v>127</v>
      </c>
      <c r="Q593" s="5" t="s">
        <v>127</v>
      </c>
    </row>
    <row r="594" spans="1:18" x14ac:dyDescent="0.25">
      <c r="A594" s="2" t="str">
        <f>"MED"&amp;TEXT(Table39[[#This Row],[Count]],"000")&amp;"."&amp;IF(Table39[[#This Row],[Category]]="Essential","E",IF(Table39[[#This Row],[Category]]="Discretionary","D","O"))</f>
        <v>MED486.E</v>
      </c>
      <c r="B594" s="2">
        <f>MAX(Table38[Count])+ROWS(INDEX(Table39[Count],1):Table39[[#This Row],[Count]])</f>
        <v>486</v>
      </c>
      <c r="C594" s="5" t="s">
        <v>90</v>
      </c>
      <c r="D594" s="5" t="s">
        <v>1064</v>
      </c>
      <c r="E594" s="2" t="s">
        <v>13</v>
      </c>
      <c r="F594" s="2" t="s">
        <v>127</v>
      </c>
      <c r="L594" s="2" t="s">
        <v>127</v>
      </c>
      <c r="M594" s="2" t="s">
        <v>127</v>
      </c>
      <c r="N594" s="2" t="s">
        <v>127</v>
      </c>
      <c r="O594" s="2" t="s">
        <v>127</v>
      </c>
      <c r="P594" s="2" t="s">
        <v>127</v>
      </c>
      <c r="Q594" s="5" t="s">
        <v>127</v>
      </c>
    </row>
    <row r="595" spans="1:18" x14ac:dyDescent="0.25">
      <c r="A595" s="2" t="str">
        <f>"MED"&amp;TEXT(Table39[[#This Row],[Count]],"000")&amp;"."&amp;IF(Table39[[#This Row],[Category]]="Essential","E",IF(Table39[[#This Row],[Category]]="Discretionary","D","O"))</f>
        <v>MED487.E</v>
      </c>
      <c r="B595" s="2">
        <f>MAX(Table38[Count])+ROWS(INDEX(Table39[Count],1):Table39[[#This Row],[Count]])</f>
        <v>487</v>
      </c>
      <c r="C595" s="5" t="s">
        <v>90</v>
      </c>
      <c r="D595" s="5" t="s">
        <v>1065</v>
      </c>
      <c r="E595" s="2" t="s">
        <v>13</v>
      </c>
      <c r="F595" s="2" t="s">
        <v>127</v>
      </c>
      <c r="R595" s="5" t="s">
        <v>1066</v>
      </c>
    </row>
    <row r="596" spans="1:18" ht="30" x14ac:dyDescent="0.25">
      <c r="A596" s="2" t="str">
        <f>"MED"&amp;TEXT(Table39[[#This Row],[Count]],"000")&amp;"."&amp;IF(Table39[[#This Row],[Category]]="Essential","E",IF(Table39[[#This Row],[Category]]="Discretionary","D","O"))</f>
        <v>MED488.E</v>
      </c>
      <c r="B596" s="2">
        <f>MAX(Table38[Count])+ROWS(INDEX(Table39[Count],1):Table39[[#This Row],[Count]])</f>
        <v>488</v>
      </c>
      <c r="C596" s="5" t="s">
        <v>90</v>
      </c>
      <c r="D596" s="5" t="s">
        <v>1067</v>
      </c>
      <c r="E596" s="2" t="s">
        <v>13</v>
      </c>
      <c r="L596" s="2" t="s">
        <v>127</v>
      </c>
      <c r="M596" s="2" t="s">
        <v>127</v>
      </c>
      <c r="N596" s="2" t="s">
        <v>127</v>
      </c>
      <c r="O596" s="2" t="s">
        <v>127</v>
      </c>
      <c r="P596" s="2" t="s">
        <v>127</v>
      </c>
      <c r="Q596" s="5" t="s">
        <v>127</v>
      </c>
    </row>
    <row r="598" spans="1:18" x14ac:dyDescent="0.25">
      <c r="A598" s="58" t="s">
        <v>93</v>
      </c>
      <c r="B598" s="58"/>
      <c r="C598" s="58"/>
      <c r="D598" s="58"/>
      <c r="E598" s="58"/>
      <c r="F598" s="58"/>
      <c r="G598" s="58"/>
      <c r="H598" s="58"/>
      <c r="I598" s="58"/>
      <c r="J598" s="58"/>
      <c r="K598" s="58"/>
      <c r="L598" s="58"/>
      <c r="M598" s="58"/>
      <c r="N598" s="58"/>
      <c r="O598" s="58"/>
      <c r="P598" s="58"/>
      <c r="Q598" s="58"/>
      <c r="R598" s="58"/>
    </row>
    <row r="600" spans="1:18" x14ac:dyDescent="0.25">
      <c r="A600" s="6" t="s">
        <v>120</v>
      </c>
      <c r="B600" s="6" t="s">
        <v>121</v>
      </c>
      <c r="C600" s="7" t="s">
        <v>122</v>
      </c>
      <c r="D600" s="7" t="s">
        <v>123</v>
      </c>
      <c r="E600" s="6" t="s">
        <v>8</v>
      </c>
      <c r="F600" s="6" t="s">
        <v>124</v>
      </c>
      <c r="G600" s="6" t="s">
        <v>154</v>
      </c>
      <c r="H600" s="6" t="s">
        <v>155</v>
      </c>
      <c r="I600" s="6" t="s">
        <v>156</v>
      </c>
      <c r="J600" s="6" t="s">
        <v>157</v>
      </c>
      <c r="K600" s="6" t="s">
        <v>158</v>
      </c>
      <c r="L600" s="6" t="s">
        <v>159</v>
      </c>
      <c r="M600" s="6" t="s">
        <v>160</v>
      </c>
      <c r="N600" s="6" t="s">
        <v>161</v>
      </c>
      <c r="O600" s="6" t="s">
        <v>162</v>
      </c>
      <c r="P600" s="6" t="s">
        <v>163</v>
      </c>
      <c r="Q600" s="7" t="s">
        <v>164</v>
      </c>
      <c r="R600" s="7" t="s">
        <v>125</v>
      </c>
    </row>
    <row r="601" spans="1:18" ht="30" x14ac:dyDescent="0.25">
      <c r="A601" s="2" t="str">
        <f>"MED"&amp;TEXT(Table40[[#This Row],[Count]],"000")&amp;"."&amp;IF(Table40[[#This Row],[Category]]="Essential","E",IF(Table40[[#This Row],[Category]]="Discretionary","D","O"))</f>
        <v>MED489.E</v>
      </c>
      <c r="B601" s="2">
        <f>MAX(Table39[Count])+ROWS(INDEX(Table40[Count],1):Table40[[#This Row],[Count]])</f>
        <v>489</v>
      </c>
      <c r="C601" s="5" t="s">
        <v>93</v>
      </c>
      <c r="D601" s="5" t="s">
        <v>1068</v>
      </c>
      <c r="E601" s="2" t="s">
        <v>13</v>
      </c>
      <c r="L601" s="2" t="s">
        <v>127</v>
      </c>
      <c r="M601" s="2" t="s">
        <v>127</v>
      </c>
      <c r="N601" s="2" t="s">
        <v>127</v>
      </c>
      <c r="O601" s="2" t="s">
        <v>127</v>
      </c>
      <c r="P601" s="2" t="s">
        <v>127</v>
      </c>
      <c r="Q601" s="5" t="s">
        <v>127</v>
      </c>
    </row>
    <row r="602" spans="1:18" x14ac:dyDescent="0.25">
      <c r="A602" s="2" t="str">
        <f>"MED"&amp;TEXT(Table40[[#This Row],[Count]],"000")&amp;"."&amp;IF(Table40[[#This Row],[Category]]="Essential","E",IF(Table40[[#This Row],[Category]]="Discretionary","D","O"))</f>
        <v>MED490.E</v>
      </c>
      <c r="B602" s="2">
        <f>MAX(Table39[Count])+ROWS(INDEX(Table40[Count],1):Table40[[#This Row],[Count]])</f>
        <v>490</v>
      </c>
      <c r="C602" s="5" t="s">
        <v>93</v>
      </c>
      <c r="D602" s="5" t="s">
        <v>1069</v>
      </c>
      <c r="E602" s="2" t="s">
        <v>13</v>
      </c>
      <c r="L602" s="2" t="s">
        <v>127</v>
      </c>
      <c r="M602" s="2" t="s">
        <v>127</v>
      </c>
      <c r="N602" s="2" t="s">
        <v>127</v>
      </c>
      <c r="O602" s="2" t="s">
        <v>127</v>
      </c>
      <c r="P602" s="2" t="s">
        <v>127</v>
      </c>
      <c r="Q602" s="5" t="s">
        <v>127</v>
      </c>
    </row>
    <row r="603" spans="1:18" x14ac:dyDescent="0.25">
      <c r="A603" s="2" t="str">
        <f>"MED"&amp;TEXT(Table40[[#This Row],[Count]],"000")&amp;"."&amp;IF(Table40[[#This Row],[Category]]="Essential","E",IF(Table40[[#This Row],[Category]]="Discretionary","D","O"))</f>
        <v>MED491.E</v>
      </c>
      <c r="B603" s="2">
        <f>MAX(Table39[Count])+ROWS(INDEX(Table40[Count],1):Table40[[#This Row],[Count]])</f>
        <v>491</v>
      </c>
      <c r="C603" s="5" t="s">
        <v>93</v>
      </c>
      <c r="D603" s="5" t="s">
        <v>1070</v>
      </c>
      <c r="E603" s="2" t="s">
        <v>13</v>
      </c>
      <c r="L603" s="2" t="s">
        <v>127</v>
      </c>
      <c r="M603" s="2" t="s">
        <v>127</v>
      </c>
      <c r="N603" s="2" t="s">
        <v>127</v>
      </c>
      <c r="O603" s="2" t="s">
        <v>127</v>
      </c>
      <c r="P603" s="2" t="s">
        <v>127</v>
      </c>
      <c r="Q603" s="5" t="s">
        <v>127</v>
      </c>
    </row>
    <row r="604" spans="1:18" x14ac:dyDescent="0.25">
      <c r="A604" s="2" t="str">
        <f>"MED"&amp;TEXT(Table40[[#This Row],[Count]],"000")&amp;"."&amp;IF(Table40[[#This Row],[Category]]="Essential","E",IF(Table40[[#This Row],[Category]]="Discretionary","D","O"))</f>
        <v>MED492.E</v>
      </c>
      <c r="B604" s="2">
        <f>MAX(Table39[Count])+ROWS(INDEX(Table40[Count],1):Table40[[#This Row],[Count]])</f>
        <v>492</v>
      </c>
      <c r="C604" s="5" t="s">
        <v>93</v>
      </c>
      <c r="D604" s="5" t="s">
        <v>1071</v>
      </c>
      <c r="E604" s="2" t="s">
        <v>13</v>
      </c>
      <c r="F604" s="2" t="s">
        <v>127</v>
      </c>
    </row>
    <row r="605" spans="1:18" x14ac:dyDescent="0.25">
      <c r="A605" s="2" t="str">
        <f>"MED"&amp;TEXT(Table40[[#This Row],[Count]],"000")&amp;"."&amp;IF(Table40[[#This Row],[Category]]="Essential","E",IF(Table40[[#This Row],[Category]]="Discretionary","D","O"))</f>
        <v>MED493.E</v>
      </c>
      <c r="B605" s="2">
        <f>MAX(Table39[Count])+ROWS(INDEX(Table40[Count],1):Table40[[#This Row],[Count]])</f>
        <v>493</v>
      </c>
      <c r="C605" s="5" t="s">
        <v>93</v>
      </c>
      <c r="D605" s="5" t="s">
        <v>1072</v>
      </c>
      <c r="E605" s="2" t="s">
        <v>13</v>
      </c>
      <c r="L605" s="2" t="s">
        <v>127</v>
      </c>
      <c r="M605" s="2" t="s">
        <v>127</v>
      </c>
      <c r="N605" s="2" t="s">
        <v>127</v>
      </c>
      <c r="O605" s="2" t="s">
        <v>127</v>
      </c>
      <c r="P605" s="2" t="s">
        <v>127</v>
      </c>
      <c r="Q605" s="5" t="s">
        <v>127</v>
      </c>
    </row>
    <row r="606" spans="1:18" x14ac:dyDescent="0.25">
      <c r="A606" s="2" t="str">
        <f>"MED"&amp;TEXT(Table40[[#This Row],[Count]],"000")&amp;"."&amp;IF(Table40[[#This Row],[Category]]="Essential","E",IF(Table40[[#This Row],[Category]]="Discretionary","D","O"))</f>
        <v>MED494.E</v>
      </c>
      <c r="B606" s="2">
        <f>MAX(Table39[Count])+ROWS(INDEX(Table40[Count],1):Table40[[#This Row],[Count]])</f>
        <v>494</v>
      </c>
      <c r="C606" s="5" t="s">
        <v>93</v>
      </c>
      <c r="D606" s="5" t="s">
        <v>1073</v>
      </c>
      <c r="E606" s="2" t="s">
        <v>13</v>
      </c>
      <c r="F606" s="2" t="s">
        <v>127</v>
      </c>
    </row>
    <row r="607" spans="1:18" x14ac:dyDescent="0.25">
      <c r="A607" s="2" t="str">
        <f>"MED"&amp;TEXT(Table40[[#This Row],[Count]],"000")&amp;"."&amp;IF(Table40[[#This Row],[Category]]="Essential","E",IF(Table40[[#This Row],[Category]]="Discretionary","D","O"))</f>
        <v>MED495.E</v>
      </c>
      <c r="B607" s="2">
        <f>MAX(Table39[Count])+ROWS(INDEX(Table40[Count],1):Table40[[#This Row],[Count]])</f>
        <v>495</v>
      </c>
      <c r="C607" s="5" t="s">
        <v>93</v>
      </c>
      <c r="D607" s="5" t="s">
        <v>1074</v>
      </c>
      <c r="E607" s="2" t="s">
        <v>13</v>
      </c>
      <c r="L607" s="2" t="s">
        <v>127</v>
      </c>
      <c r="M607" s="2" t="s">
        <v>127</v>
      </c>
      <c r="N607" s="2" t="s">
        <v>127</v>
      </c>
      <c r="O607" s="2" t="s">
        <v>127</v>
      </c>
      <c r="P607" s="2" t="s">
        <v>127</v>
      </c>
      <c r="Q607" s="5" t="s">
        <v>127</v>
      </c>
    </row>
    <row r="608" spans="1:18" x14ac:dyDescent="0.25">
      <c r="A608" s="2" t="str">
        <f>"MED"&amp;TEXT(Table40[[#This Row],[Count]],"000")&amp;"."&amp;IF(Table40[[#This Row],[Category]]="Essential","E",IF(Table40[[#This Row],[Category]]="Discretionary","D","O"))</f>
        <v>MED496.E</v>
      </c>
      <c r="B608" s="2">
        <f>MAX(Table39[Count])+ROWS(INDEX(Table40[Count],1):Table40[[#This Row],[Count]])</f>
        <v>496</v>
      </c>
      <c r="C608" s="5" t="s">
        <v>93</v>
      </c>
      <c r="D608" s="5" t="s">
        <v>1075</v>
      </c>
      <c r="E608" s="2" t="s">
        <v>13</v>
      </c>
      <c r="F608" s="2" t="s">
        <v>127</v>
      </c>
      <c r="L608" s="2" t="s">
        <v>127</v>
      </c>
      <c r="M608" s="2" t="s">
        <v>127</v>
      </c>
      <c r="N608" s="2" t="s">
        <v>127</v>
      </c>
      <c r="O608" s="2" t="s">
        <v>127</v>
      </c>
      <c r="P608" s="2" t="s">
        <v>127</v>
      </c>
      <c r="Q608" s="5" t="s">
        <v>127</v>
      </c>
    </row>
    <row r="609" spans="1:17" ht="30" x14ac:dyDescent="0.25">
      <c r="A609" s="2" t="str">
        <f>"MED"&amp;TEXT(Table40[[#This Row],[Count]],"000")&amp;"."&amp;IF(Table40[[#This Row],[Category]]="Essential","E",IF(Table40[[#This Row],[Category]]="Discretionary","D","O"))</f>
        <v>MED497.E</v>
      </c>
      <c r="B609" s="2">
        <f>MAX(Table39[Count])+ROWS(INDEX(Table40[Count],1):Table40[[#This Row],[Count]])</f>
        <v>497</v>
      </c>
      <c r="C609" s="5" t="s">
        <v>93</v>
      </c>
      <c r="D609" s="5" t="s">
        <v>1076</v>
      </c>
      <c r="E609" s="2" t="s">
        <v>13</v>
      </c>
      <c r="L609" s="2" t="s">
        <v>127</v>
      </c>
      <c r="M609" s="2" t="s">
        <v>127</v>
      </c>
      <c r="N609" s="2" t="s">
        <v>127</v>
      </c>
      <c r="O609" s="2" t="s">
        <v>127</v>
      </c>
      <c r="P609" s="2" t="s">
        <v>127</v>
      </c>
      <c r="Q609" s="5" t="s">
        <v>127</v>
      </c>
    </row>
    <row r="610" spans="1:17" x14ac:dyDescent="0.25">
      <c r="A610" s="2" t="str">
        <f>"MED"&amp;TEXT(Table40[[#This Row],[Count]],"000")&amp;"."&amp;IF(Table40[[#This Row],[Category]]="Essential","E",IF(Table40[[#This Row],[Category]]="Discretionary","D","O"))</f>
        <v>MED498.E</v>
      </c>
      <c r="B610" s="2">
        <f>MAX(Table39[Count])+ROWS(INDEX(Table40[Count],1):Table40[[#This Row],[Count]])</f>
        <v>498</v>
      </c>
      <c r="C610" s="5" t="s">
        <v>93</v>
      </c>
      <c r="D610" s="5" t="s">
        <v>1077</v>
      </c>
      <c r="E610" s="2" t="s">
        <v>13</v>
      </c>
      <c r="F610" s="2" t="s">
        <v>127</v>
      </c>
    </row>
    <row r="611" spans="1:17" x14ac:dyDescent="0.25">
      <c r="A611" s="2" t="str">
        <f>"MED"&amp;TEXT(Table40[[#This Row],[Count]],"000")&amp;"."&amp;IF(Table40[[#This Row],[Category]]="Essential","E",IF(Table40[[#This Row],[Category]]="Discretionary","D","O"))</f>
        <v>MED499.E</v>
      </c>
      <c r="B611" s="2">
        <f>MAX(Table39[Count])+ROWS(INDEX(Table40[Count],1):Table40[[#This Row],[Count]])</f>
        <v>499</v>
      </c>
      <c r="C611" s="5" t="s">
        <v>93</v>
      </c>
      <c r="D611" s="5" t="s">
        <v>1078</v>
      </c>
      <c r="E611" s="2" t="s">
        <v>13</v>
      </c>
      <c r="F611" s="2" t="s">
        <v>127</v>
      </c>
    </row>
    <row r="612" spans="1:17" x14ac:dyDescent="0.25">
      <c r="A612" s="2" t="str">
        <f>"MED"&amp;TEXT(Table40[[#This Row],[Count]],"000")&amp;"."&amp;IF(Table40[[#This Row],[Category]]="Essential","E",IF(Table40[[#This Row],[Category]]="Discretionary","D","O"))</f>
        <v>MED500.E</v>
      </c>
      <c r="B612" s="2">
        <f>MAX(Table39[Count])+ROWS(INDEX(Table40[Count],1):Table40[[#This Row],[Count]])</f>
        <v>500</v>
      </c>
      <c r="C612" s="5" t="s">
        <v>93</v>
      </c>
      <c r="D612" s="5" t="s">
        <v>1079</v>
      </c>
      <c r="E612" s="2" t="s">
        <v>13</v>
      </c>
      <c r="F612" s="2" t="s">
        <v>127</v>
      </c>
    </row>
    <row r="613" spans="1:17" x14ac:dyDescent="0.25">
      <c r="A613" s="2" t="str">
        <f>"MED"&amp;TEXT(Table40[[#This Row],[Count]],"000")&amp;"."&amp;IF(Table40[[#This Row],[Category]]="Essential","E",IF(Table40[[#This Row],[Category]]="Discretionary","D","O"))</f>
        <v>MED501.E</v>
      </c>
      <c r="B613" s="2">
        <f>MAX(Table39[Count])+ROWS(INDEX(Table40[Count],1):Table40[[#This Row],[Count]])</f>
        <v>501</v>
      </c>
      <c r="C613" s="5" t="s">
        <v>93</v>
      </c>
      <c r="D613" s="5" t="s">
        <v>1080</v>
      </c>
      <c r="E613" s="2" t="s">
        <v>13</v>
      </c>
      <c r="F613" s="2" t="s">
        <v>127</v>
      </c>
    </row>
    <row r="614" spans="1:17" x14ac:dyDescent="0.25">
      <c r="A614" s="2" t="str">
        <f>"MED"&amp;TEXT(Table40[[#This Row],[Count]],"000")&amp;"."&amp;IF(Table40[[#This Row],[Category]]="Essential","E",IF(Table40[[#This Row],[Category]]="Discretionary","D","O"))</f>
        <v>MED502.E</v>
      </c>
      <c r="B614" s="2">
        <f>MAX(Table39[Count])+ROWS(INDEX(Table40[Count],1):Table40[[#This Row],[Count]])</f>
        <v>502</v>
      </c>
      <c r="C614" s="5" t="s">
        <v>93</v>
      </c>
      <c r="D614" s="5" t="s">
        <v>1081</v>
      </c>
      <c r="E614" s="2" t="s">
        <v>13</v>
      </c>
      <c r="F614" s="2" t="s">
        <v>127</v>
      </c>
    </row>
    <row r="615" spans="1:17" ht="30" x14ac:dyDescent="0.25">
      <c r="A615" s="2" t="str">
        <f>"MED"&amp;TEXT(Table40[[#This Row],[Count]],"000")&amp;"."&amp;IF(Table40[[#This Row],[Category]]="Essential","E",IF(Table40[[#This Row],[Category]]="Discretionary","D","O"))</f>
        <v>MED503.E</v>
      </c>
      <c r="B615" s="2">
        <f>MAX(Table39[Count])+ROWS(INDEX(Table40[Count],1):Table40[[#This Row],[Count]])</f>
        <v>503</v>
      </c>
      <c r="C615" s="5" t="s">
        <v>93</v>
      </c>
      <c r="D615" s="5" t="s">
        <v>1082</v>
      </c>
      <c r="E615" s="2" t="s">
        <v>13</v>
      </c>
      <c r="F615" s="2" t="s">
        <v>127</v>
      </c>
    </row>
    <row r="616" spans="1:17" x14ac:dyDescent="0.25">
      <c r="A616" s="2" t="str">
        <f>"MED"&amp;TEXT(Table40[[#This Row],[Count]],"000")&amp;"."&amp;IF(Table40[[#This Row],[Category]]="Essential","E",IF(Table40[[#This Row],[Category]]="Discretionary","D","O"))</f>
        <v>MED504.E</v>
      </c>
      <c r="B616" s="2">
        <f>MAX(Table39[Count])+ROWS(INDEX(Table40[Count],1):Table40[[#This Row],[Count]])</f>
        <v>504</v>
      </c>
      <c r="C616" s="5" t="s">
        <v>93</v>
      </c>
      <c r="D616" s="5" t="s">
        <v>1083</v>
      </c>
      <c r="E616" s="2" t="s">
        <v>13</v>
      </c>
      <c r="L616" s="2" t="s">
        <v>127</v>
      </c>
      <c r="M616" s="2" t="s">
        <v>127</v>
      </c>
      <c r="N616" s="2" t="s">
        <v>127</v>
      </c>
      <c r="O616" s="2" t="s">
        <v>127</v>
      </c>
      <c r="P616" s="2" t="s">
        <v>127</v>
      </c>
      <c r="Q616" s="5" t="s">
        <v>127</v>
      </c>
    </row>
    <row r="617" spans="1:17" ht="30" x14ac:dyDescent="0.25">
      <c r="A617" s="2" t="str">
        <f>"MED"&amp;TEXT(Table40[[#This Row],[Count]],"000")&amp;"."&amp;IF(Table40[[#This Row],[Category]]="Essential","E",IF(Table40[[#This Row],[Category]]="Discretionary","D","O"))</f>
        <v>MED505.E</v>
      </c>
      <c r="B617" s="2">
        <f>MAX(Table39[Count])+ROWS(INDEX(Table40[Count],1):Table40[[#This Row],[Count]])</f>
        <v>505</v>
      </c>
      <c r="C617" s="5" t="s">
        <v>93</v>
      </c>
      <c r="D617" s="5" t="s">
        <v>1084</v>
      </c>
      <c r="E617" s="2" t="s">
        <v>13</v>
      </c>
      <c r="N617" s="2" t="s">
        <v>127</v>
      </c>
      <c r="O617" s="2" t="s">
        <v>127</v>
      </c>
      <c r="P617" s="2" t="s">
        <v>127</v>
      </c>
      <c r="Q617" s="5" t="s">
        <v>127</v>
      </c>
    </row>
    <row r="618" spans="1:17" x14ac:dyDescent="0.25">
      <c r="A618" s="2" t="str">
        <f>"MED"&amp;TEXT(Table40[[#This Row],[Count]],"000")&amp;"."&amp;IF(Table40[[#This Row],[Category]]="Essential","E",IF(Table40[[#This Row],[Category]]="Discretionary","D","O"))</f>
        <v>MED506.E</v>
      </c>
      <c r="B618" s="2">
        <f>MAX(Table39[Count])+ROWS(INDEX(Table40[Count],1):Table40[[#This Row],[Count]])</f>
        <v>506</v>
      </c>
      <c r="C618" s="5" t="s">
        <v>93</v>
      </c>
      <c r="D618" s="5" t="s">
        <v>1085</v>
      </c>
      <c r="E618" s="2" t="s">
        <v>13</v>
      </c>
      <c r="L618" s="2" t="s">
        <v>127</v>
      </c>
      <c r="M618" s="2" t="s">
        <v>127</v>
      </c>
      <c r="N618" s="2" t="s">
        <v>127</v>
      </c>
      <c r="O618" s="2" t="s">
        <v>127</v>
      </c>
      <c r="P618" s="2" t="s">
        <v>127</v>
      </c>
      <c r="Q618" s="5" t="s">
        <v>127</v>
      </c>
    </row>
    <row r="619" spans="1:17" x14ac:dyDescent="0.25">
      <c r="A619" s="2" t="str">
        <f>"MED"&amp;TEXT(Table40[[#This Row],[Count]],"000")&amp;"."&amp;IF(Table40[[#This Row],[Category]]="Essential","E",IF(Table40[[#This Row],[Category]]="Discretionary","D","O"))</f>
        <v>MED507.E</v>
      </c>
      <c r="B619" s="2">
        <f>MAX(Table39[Count])+ROWS(INDEX(Table40[Count],1):Table40[[#This Row],[Count]])</f>
        <v>507</v>
      </c>
      <c r="C619" s="5" t="s">
        <v>93</v>
      </c>
      <c r="D619" s="5" t="s">
        <v>1086</v>
      </c>
      <c r="E619" s="2" t="s">
        <v>13</v>
      </c>
      <c r="F619" s="2" t="s">
        <v>127</v>
      </c>
      <c r="L619" s="2" t="s">
        <v>127</v>
      </c>
      <c r="M619" s="2" t="s">
        <v>127</v>
      </c>
      <c r="N619" s="2" t="s">
        <v>127</v>
      </c>
      <c r="O619" s="2" t="s">
        <v>127</v>
      </c>
      <c r="P619" s="2" t="s">
        <v>127</v>
      </c>
      <c r="Q619" s="5" t="s">
        <v>127</v>
      </c>
    </row>
    <row r="620" spans="1:17" x14ac:dyDescent="0.25">
      <c r="A620" s="2" t="str">
        <f>"MED"&amp;TEXT(Table40[[#This Row],[Count]],"000")&amp;"."&amp;IF(Table40[[#This Row],[Category]]="Essential","E",IF(Table40[[#This Row],[Category]]="Discretionary","D","O"))</f>
        <v>MED508.E</v>
      </c>
      <c r="B620" s="2">
        <f>MAX(Table39[Count])+ROWS(INDEX(Table40[Count],1):Table40[[#This Row],[Count]])</f>
        <v>508</v>
      </c>
      <c r="C620" s="5" t="s">
        <v>93</v>
      </c>
      <c r="D620" s="5" t="s">
        <v>1087</v>
      </c>
      <c r="E620" s="2" t="s">
        <v>13</v>
      </c>
      <c r="L620" s="2" t="s">
        <v>127</v>
      </c>
      <c r="M620" s="2" t="s">
        <v>127</v>
      </c>
      <c r="N620" s="2" t="s">
        <v>127</v>
      </c>
      <c r="O620" s="2" t="s">
        <v>127</v>
      </c>
      <c r="P620" s="2" t="s">
        <v>127</v>
      </c>
      <c r="Q620" s="5" t="s">
        <v>127</v>
      </c>
    </row>
    <row r="621" spans="1:17" x14ac:dyDescent="0.25">
      <c r="A621" s="2" t="str">
        <f>"MED"&amp;TEXT(Table40[[#This Row],[Count]],"000")&amp;"."&amp;IF(Table40[[#This Row],[Category]]="Essential","E",IF(Table40[[#This Row],[Category]]="Discretionary","D","O"))</f>
        <v>MED509.E</v>
      </c>
      <c r="B621" s="2">
        <f>MAX(Table39[Count])+ROWS(INDEX(Table40[Count],1):Table40[[#This Row],[Count]])</f>
        <v>509</v>
      </c>
      <c r="C621" s="5" t="s">
        <v>93</v>
      </c>
      <c r="D621" s="5" t="s">
        <v>1088</v>
      </c>
      <c r="E621" s="2" t="s">
        <v>13</v>
      </c>
      <c r="L621" s="2" t="s">
        <v>127</v>
      </c>
      <c r="M621" s="2" t="s">
        <v>127</v>
      </c>
      <c r="N621" s="2" t="s">
        <v>127</v>
      </c>
      <c r="O621" s="2" t="s">
        <v>127</v>
      </c>
      <c r="P621" s="2" t="s">
        <v>127</v>
      </c>
      <c r="Q621" s="5" t="s">
        <v>127</v>
      </c>
    </row>
    <row r="622" spans="1:17" x14ac:dyDescent="0.25">
      <c r="A622" s="2" t="str">
        <f>"MED"&amp;TEXT(Table40[[#This Row],[Count]],"000")&amp;"."&amp;IF(Table40[[#This Row],[Category]]="Essential","E",IF(Table40[[#This Row],[Category]]="Discretionary","D","O"))</f>
        <v>MED510.E</v>
      </c>
      <c r="B622" s="2">
        <f>MAX(Table39[Count])+ROWS(INDEX(Table40[Count],1):Table40[[#This Row],[Count]])</f>
        <v>510</v>
      </c>
      <c r="C622" s="5" t="s">
        <v>93</v>
      </c>
      <c r="D622" s="5" t="s">
        <v>1089</v>
      </c>
      <c r="E622" s="2" t="s">
        <v>13</v>
      </c>
      <c r="F622" s="2" t="s">
        <v>127</v>
      </c>
      <c r="L622" s="2" t="s">
        <v>127</v>
      </c>
      <c r="M622" s="2" t="s">
        <v>127</v>
      </c>
      <c r="N622" s="2" t="s">
        <v>127</v>
      </c>
      <c r="O622" s="2" t="s">
        <v>127</v>
      </c>
      <c r="P622" s="2" t="s">
        <v>127</v>
      </c>
      <c r="Q622" s="5" t="s">
        <v>127</v>
      </c>
    </row>
    <row r="623" spans="1:17" ht="30" x14ac:dyDescent="0.25">
      <c r="A623" s="2" t="str">
        <f>"MED"&amp;TEXT(Table40[[#This Row],[Count]],"000")&amp;"."&amp;IF(Table40[[#This Row],[Category]]="Essential","E",IF(Table40[[#This Row],[Category]]="Discretionary","D","O"))</f>
        <v>MED511.E</v>
      </c>
      <c r="B623" s="2">
        <f>MAX(Table39[Count])+ROWS(INDEX(Table40[Count],1):Table40[[#This Row],[Count]])</f>
        <v>511</v>
      </c>
      <c r="C623" s="5" t="s">
        <v>93</v>
      </c>
      <c r="D623" s="5" t="s">
        <v>1090</v>
      </c>
      <c r="E623" s="2" t="s">
        <v>13</v>
      </c>
      <c r="F623" s="2" t="s">
        <v>127</v>
      </c>
      <c r="L623" s="2" t="s">
        <v>127</v>
      </c>
      <c r="M623" s="2" t="s">
        <v>127</v>
      </c>
      <c r="N623" s="2" t="s">
        <v>127</v>
      </c>
      <c r="O623" s="2" t="s">
        <v>127</v>
      </c>
      <c r="P623" s="2" t="s">
        <v>127</v>
      </c>
      <c r="Q623" s="5" t="s">
        <v>127</v>
      </c>
    </row>
    <row r="624" spans="1:17" x14ac:dyDescent="0.25">
      <c r="A624" s="2" t="str">
        <f>"MED"&amp;TEXT(Table40[[#This Row],[Count]],"000")&amp;"."&amp;IF(Table40[[#This Row],[Category]]="Essential","E",IF(Table40[[#This Row],[Category]]="Discretionary","D","O"))</f>
        <v>MED512.E</v>
      </c>
      <c r="B624" s="2">
        <f>MAX(Table39[Count])+ROWS(INDEX(Table40[Count],1):Table40[[#This Row],[Count]])</f>
        <v>512</v>
      </c>
      <c r="C624" s="5" t="s">
        <v>93</v>
      </c>
      <c r="D624" s="5" t="s">
        <v>1091</v>
      </c>
      <c r="E624" s="2" t="s">
        <v>13</v>
      </c>
      <c r="L624" s="2" t="s">
        <v>127</v>
      </c>
      <c r="M624" s="2" t="s">
        <v>127</v>
      </c>
      <c r="N624" s="2" t="s">
        <v>127</v>
      </c>
      <c r="O624" s="2" t="s">
        <v>127</v>
      </c>
      <c r="P624" s="2" t="s">
        <v>127</v>
      </c>
      <c r="Q624" s="5" t="s">
        <v>127</v>
      </c>
    </row>
    <row r="625" spans="1:18" x14ac:dyDescent="0.25">
      <c r="A625" s="2" t="str">
        <f>"MED"&amp;TEXT(Table40[[#This Row],[Count]],"000")&amp;"."&amp;IF(Table40[[#This Row],[Category]]="Essential","E",IF(Table40[[#This Row],[Category]]="Discretionary","D","O"))</f>
        <v>MED513.E</v>
      </c>
      <c r="B625" s="2">
        <f>MAX(Table39[Count])+ROWS(INDEX(Table40[Count],1):Table40[[#This Row],[Count]])</f>
        <v>513</v>
      </c>
      <c r="C625" s="5" t="s">
        <v>93</v>
      </c>
      <c r="D625" s="5" t="s">
        <v>1092</v>
      </c>
      <c r="E625" s="2" t="s">
        <v>13</v>
      </c>
      <c r="L625" s="2" t="s">
        <v>127</v>
      </c>
      <c r="M625" s="2" t="s">
        <v>127</v>
      </c>
      <c r="N625" s="2" t="s">
        <v>127</v>
      </c>
      <c r="O625" s="2" t="s">
        <v>127</v>
      </c>
      <c r="P625" s="2" t="s">
        <v>127</v>
      </c>
      <c r="Q625" s="5" t="s">
        <v>127</v>
      </c>
    </row>
    <row r="626" spans="1:18" x14ac:dyDescent="0.25">
      <c r="A626" s="2" t="str">
        <f>"MED"&amp;TEXT(Table40[[#This Row],[Count]],"000")&amp;"."&amp;IF(Table40[[#This Row],[Category]]="Essential","E",IF(Table40[[#This Row],[Category]]="Discretionary","D","O"))</f>
        <v>MED514.E</v>
      </c>
      <c r="B626" s="2">
        <f>MAX(Table39[Count])+ROWS(INDEX(Table40[Count],1):Table40[[#This Row],[Count]])</f>
        <v>514</v>
      </c>
      <c r="C626" s="5" t="s">
        <v>93</v>
      </c>
      <c r="D626" s="5" t="s">
        <v>1093</v>
      </c>
      <c r="E626" s="2" t="s">
        <v>13</v>
      </c>
      <c r="F626" s="2" t="s">
        <v>127</v>
      </c>
      <c r="L626" s="2" t="s">
        <v>127</v>
      </c>
      <c r="M626" s="2" t="s">
        <v>127</v>
      </c>
      <c r="N626" s="2" t="s">
        <v>127</v>
      </c>
      <c r="O626" s="2" t="s">
        <v>127</v>
      </c>
      <c r="P626" s="2" t="s">
        <v>127</v>
      </c>
      <c r="Q626" s="5" t="s">
        <v>127</v>
      </c>
    </row>
    <row r="627" spans="1:18" x14ac:dyDescent="0.25">
      <c r="A627" s="2" t="str">
        <f>"MED"&amp;TEXT(Table40[[#This Row],[Count]],"000")&amp;"."&amp;IF(Table40[[#This Row],[Category]]="Essential","E",IF(Table40[[#This Row],[Category]]="Discretionary","D","O"))</f>
        <v>MED515.E</v>
      </c>
      <c r="B627" s="2">
        <f>MAX(Table39[Count])+ROWS(INDEX(Table40[Count],1):Table40[[#This Row],[Count]])</f>
        <v>515</v>
      </c>
      <c r="C627" s="5" t="s">
        <v>93</v>
      </c>
      <c r="D627" s="5" t="s">
        <v>1094</v>
      </c>
      <c r="E627" s="2" t="s">
        <v>13</v>
      </c>
      <c r="L627" s="2" t="s">
        <v>127</v>
      </c>
      <c r="M627" s="2" t="s">
        <v>127</v>
      </c>
      <c r="N627" s="2" t="s">
        <v>127</v>
      </c>
      <c r="O627" s="2" t="s">
        <v>127</v>
      </c>
      <c r="P627" s="2" t="s">
        <v>127</v>
      </c>
      <c r="Q627" s="5" t="s">
        <v>127</v>
      </c>
    </row>
    <row r="628" spans="1:18" ht="30" x14ac:dyDescent="0.25">
      <c r="A628" s="2" t="str">
        <f>"MED"&amp;TEXT(Table40[[#This Row],[Count]],"000")&amp;"."&amp;IF(Table40[[#This Row],[Category]]="Essential","E",IF(Table40[[#This Row],[Category]]="Discretionary","D","O"))</f>
        <v>MED516.E</v>
      </c>
      <c r="B628" s="2">
        <f>MAX(Table39[Count])+ROWS(INDEX(Table40[Count],1):Table40[[#This Row],[Count]])</f>
        <v>516</v>
      </c>
      <c r="C628" s="5" t="s">
        <v>93</v>
      </c>
      <c r="D628" s="5" t="s">
        <v>1095</v>
      </c>
      <c r="E628" s="2" t="s">
        <v>13</v>
      </c>
      <c r="F628" s="2" t="s">
        <v>127</v>
      </c>
    </row>
    <row r="630" spans="1:18" x14ac:dyDescent="0.25">
      <c r="A630" s="58" t="s">
        <v>96</v>
      </c>
      <c r="B630" s="58"/>
      <c r="C630" s="58"/>
      <c r="D630" s="58"/>
      <c r="E630" s="58"/>
      <c r="F630" s="58"/>
      <c r="G630" s="58"/>
      <c r="H630" s="58"/>
      <c r="I630" s="58"/>
      <c r="J630" s="58"/>
      <c r="K630" s="58"/>
      <c r="L630" s="58"/>
      <c r="M630" s="58"/>
      <c r="N630" s="58"/>
      <c r="O630" s="58"/>
      <c r="P630" s="58"/>
      <c r="Q630" s="58"/>
      <c r="R630" s="58"/>
    </row>
    <row r="632" spans="1:18" x14ac:dyDescent="0.25">
      <c r="A632" s="6" t="s">
        <v>120</v>
      </c>
      <c r="B632" s="6" t="s">
        <v>121</v>
      </c>
      <c r="C632" s="7" t="s">
        <v>122</v>
      </c>
      <c r="D632" s="7" t="s">
        <v>123</v>
      </c>
      <c r="E632" s="6" t="s">
        <v>8</v>
      </c>
      <c r="F632" s="6" t="s">
        <v>124</v>
      </c>
      <c r="G632" s="6" t="s">
        <v>154</v>
      </c>
      <c r="H632" s="6" t="s">
        <v>155</v>
      </c>
      <c r="I632" s="6" t="s">
        <v>156</v>
      </c>
      <c r="J632" s="6" t="s">
        <v>157</v>
      </c>
      <c r="K632" s="6" t="s">
        <v>158</v>
      </c>
      <c r="L632" s="6" t="s">
        <v>159</v>
      </c>
      <c r="M632" s="6" t="s">
        <v>160</v>
      </c>
      <c r="N632" s="6" t="s">
        <v>161</v>
      </c>
      <c r="O632" s="6" t="s">
        <v>162</v>
      </c>
      <c r="P632" s="6" t="s">
        <v>163</v>
      </c>
      <c r="Q632" s="7" t="s">
        <v>164</v>
      </c>
      <c r="R632" s="7" t="s">
        <v>125</v>
      </c>
    </row>
    <row r="633" spans="1:18" ht="30" x14ac:dyDescent="0.25">
      <c r="A633" s="2" t="str">
        <f>"MED"&amp;TEXT(Table41[[#This Row],[Count]],"000")&amp;"."&amp;IF(Table41[[#This Row],[Category]]="Essential","E",IF(Table41[[#This Row],[Category]]="Discretionary","D","O"))</f>
        <v>MED517.E</v>
      </c>
      <c r="B633" s="2">
        <f>MAX(Table40[Count])+ROWS(INDEX(Table41[Count],1):Table41[[#This Row],[Count]])</f>
        <v>517</v>
      </c>
      <c r="C633" s="5" t="s">
        <v>96</v>
      </c>
      <c r="D633" s="5" t="s">
        <v>1096</v>
      </c>
      <c r="E633" s="2" t="s">
        <v>13</v>
      </c>
      <c r="M633" s="2" t="s">
        <v>127</v>
      </c>
      <c r="N633" s="2" t="s">
        <v>127</v>
      </c>
      <c r="O633" s="2" t="s">
        <v>127</v>
      </c>
      <c r="P633" s="2" t="s">
        <v>127</v>
      </c>
    </row>
    <row r="634" spans="1:18" ht="30" x14ac:dyDescent="0.25">
      <c r="A634" s="2" t="str">
        <f>"MED"&amp;TEXT(Table41[[#This Row],[Count]],"000")&amp;"."&amp;IF(Table41[[#This Row],[Category]]="Essential","E",IF(Table41[[#This Row],[Category]]="Discretionary","D","O"))</f>
        <v>MED518.E</v>
      </c>
      <c r="B634" s="2">
        <f>MAX(Table40[Count])+ROWS(INDEX(Table41[Count],1):Table41[[#This Row],[Count]])</f>
        <v>518</v>
      </c>
      <c r="C634" s="5" t="s">
        <v>96</v>
      </c>
      <c r="D634" s="5" t="s">
        <v>1097</v>
      </c>
      <c r="E634" s="2" t="s">
        <v>13</v>
      </c>
      <c r="M634" s="2" t="s">
        <v>127</v>
      </c>
      <c r="N634" s="2" t="s">
        <v>127</v>
      </c>
      <c r="O634" s="2" t="s">
        <v>127</v>
      </c>
      <c r="P634" s="2" t="s">
        <v>127</v>
      </c>
    </row>
    <row r="635" spans="1:18" ht="30" x14ac:dyDescent="0.25">
      <c r="A635" s="2" t="str">
        <f>"MED"&amp;TEXT(Table41[[#This Row],[Count]],"000")&amp;"."&amp;IF(Table41[[#This Row],[Category]]="Essential","E",IF(Table41[[#This Row],[Category]]="Discretionary","D","O"))</f>
        <v>MED519.E</v>
      </c>
      <c r="B635" s="2">
        <f>MAX(Table40[Count])+ROWS(INDEX(Table41[Count],1):Table41[[#This Row],[Count]])</f>
        <v>519</v>
      </c>
      <c r="C635" s="5" t="s">
        <v>96</v>
      </c>
      <c r="D635" s="5" t="s">
        <v>1098</v>
      </c>
      <c r="E635" s="2" t="s">
        <v>13</v>
      </c>
      <c r="M635" s="2" t="s">
        <v>127</v>
      </c>
      <c r="N635" s="2" t="s">
        <v>127</v>
      </c>
      <c r="O635" s="2" t="s">
        <v>127</v>
      </c>
      <c r="P635" s="2" t="s">
        <v>127</v>
      </c>
      <c r="R635" s="5" t="s">
        <v>1099</v>
      </c>
    </row>
    <row r="636" spans="1:18" ht="30" x14ac:dyDescent="0.25">
      <c r="A636" s="2" t="str">
        <f>"MED"&amp;TEXT(Table41[[#This Row],[Count]],"000")&amp;"."&amp;IF(Table41[[#This Row],[Category]]="Essential","E",IF(Table41[[#This Row],[Category]]="Discretionary","D","O"))</f>
        <v>MED520.E</v>
      </c>
      <c r="B636" s="2">
        <f>MAX(Table40[Count])+ROWS(INDEX(Table41[Count],1):Table41[[#This Row],[Count]])</f>
        <v>520</v>
      </c>
      <c r="C636" s="5" t="s">
        <v>96</v>
      </c>
      <c r="D636" s="5" t="s">
        <v>1100</v>
      </c>
      <c r="E636" s="2" t="s">
        <v>13</v>
      </c>
      <c r="M636" s="2" t="s">
        <v>127</v>
      </c>
      <c r="N636" s="2" t="s">
        <v>127</v>
      </c>
      <c r="O636" s="2" t="s">
        <v>127</v>
      </c>
      <c r="P636" s="2" t="s">
        <v>127</v>
      </c>
    </row>
    <row r="637" spans="1:18" x14ac:dyDescent="0.25">
      <c r="A637" s="2" t="str">
        <f>"MED"&amp;TEXT(Table41[[#This Row],[Count]],"000")&amp;"."&amp;IF(Table41[[#This Row],[Category]]="Essential","E",IF(Table41[[#This Row],[Category]]="Discretionary","D","O"))</f>
        <v>MED521.E</v>
      </c>
      <c r="B637" s="2">
        <f>MAX(Table40[Count])+ROWS(INDEX(Table41[Count],1):Table41[[#This Row],[Count]])</f>
        <v>521</v>
      </c>
      <c r="C637" s="5" t="s">
        <v>96</v>
      </c>
      <c r="D637" s="5" t="s">
        <v>1101</v>
      </c>
      <c r="E637" s="2" t="s">
        <v>13</v>
      </c>
      <c r="M637" s="2" t="s">
        <v>127</v>
      </c>
      <c r="N637" s="2" t="s">
        <v>127</v>
      </c>
      <c r="O637" s="2" t="s">
        <v>127</v>
      </c>
      <c r="P637" s="2" t="s">
        <v>127</v>
      </c>
    </row>
    <row r="638" spans="1:18" x14ac:dyDescent="0.25">
      <c r="A638" s="2" t="str">
        <f>"MED"&amp;TEXT(Table41[[#This Row],[Count]],"000")&amp;"."&amp;IF(Table41[[#This Row],[Category]]="Essential","E",IF(Table41[[#This Row],[Category]]="Discretionary","D","O"))</f>
        <v>MED522.E</v>
      </c>
      <c r="B638" s="2">
        <f>MAX(Table40[Count])+ROWS(INDEX(Table41[Count],1):Table41[[#This Row],[Count]])</f>
        <v>522</v>
      </c>
      <c r="C638" s="5" t="s">
        <v>96</v>
      </c>
      <c r="D638" s="5" t="s">
        <v>1102</v>
      </c>
      <c r="E638" s="2" t="s">
        <v>13</v>
      </c>
      <c r="M638" s="2" t="s">
        <v>127</v>
      </c>
      <c r="N638" s="2" t="s">
        <v>127</v>
      </c>
      <c r="O638" s="2" t="s">
        <v>127</v>
      </c>
      <c r="P638" s="2" t="s">
        <v>127</v>
      </c>
      <c r="R638" s="5" t="s">
        <v>1099</v>
      </c>
    </row>
    <row r="639" spans="1:18" x14ac:dyDescent="0.25">
      <c r="A639" s="2" t="str">
        <f>"MED"&amp;TEXT(Table41[[#This Row],[Count]],"000")&amp;"."&amp;IF(Table41[[#This Row],[Category]]="Essential","E",IF(Table41[[#This Row],[Category]]="Discretionary","D","O"))</f>
        <v>MED523.E</v>
      </c>
      <c r="B639" s="2">
        <f>MAX(Table40[Count])+ROWS(INDEX(Table41[Count],1):Table41[[#This Row],[Count]])</f>
        <v>523</v>
      </c>
      <c r="C639" s="5" t="s">
        <v>96</v>
      </c>
      <c r="D639" s="5" t="s">
        <v>1103</v>
      </c>
      <c r="E639" s="2" t="s">
        <v>13</v>
      </c>
      <c r="M639" s="2" t="s">
        <v>127</v>
      </c>
      <c r="N639" s="2" t="s">
        <v>127</v>
      </c>
      <c r="O639" s="2" t="s">
        <v>127</v>
      </c>
      <c r="P639" s="2" t="s">
        <v>127</v>
      </c>
    </row>
    <row r="640" spans="1:18" x14ac:dyDescent="0.25">
      <c r="A640" s="2" t="str">
        <f>"MED"&amp;TEXT(Table41[[#This Row],[Count]],"000")&amp;"."&amp;IF(Table41[[#This Row],[Category]]="Essential","E",IF(Table41[[#This Row],[Category]]="Discretionary","D","O"))</f>
        <v>MED524.E</v>
      </c>
      <c r="B640" s="2">
        <f>MAX(Table40[Count])+ROWS(INDEX(Table41[Count],1):Table41[[#This Row],[Count]])</f>
        <v>524</v>
      </c>
      <c r="C640" s="5" t="s">
        <v>96</v>
      </c>
      <c r="D640" s="5" t="s">
        <v>1104</v>
      </c>
      <c r="E640" s="2" t="s">
        <v>13</v>
      </c>
      <c r="M640" s="2" t="s">
        <v>127</v>
      </c>
      <c r="N640" s="2" t="s">
        <v>127</v>
      </c>
      <c r="O640" s="2" t="s">
        <v>127</v>
      </c>
      <c r="P640" s="2" t="s">
        <v>127</v>
      </c>
    </row>
    <row r="641" spans="1:18" ht="30" x14ac:dyDescent="0.25">
      <c r="A641" s="2" t="str">
        <f>"MED"&amp;TEXT(Table41[[#This Row],[Count]],"000")&amp;"."&amp;IF(Table41[[#This Row],[Category]]="Essential","E",IF(Table41[[#This Row],[Category]]="Discretionary","D","O"))</f>
        <v>MED525.D</v>
      </c>
      <c r="B641" s="2">
        <f>MAX(Table40[Count])+ROWS(INDEX(Table41[Count],1):Table41[[#This Row],[Count]])</f>
        <v>525</v>
      </c>
      <c r="C641" s="5" t="s">
        <v>96</v>
      </c>
      <c r="D641" s="5" t="s">
        <v>1105</v>
      </c>
      <c r="E641" s="2" t="s">
        <v>18</v>
      </c>
      <c r="N641" s="2" t="s">
        <v>127</v>
      </c>
      <c r="O641" s="2" t="s">
        <v>127</v>
      </c>
      <c r="P641" s="2" t="s">
        <v>127</v>
      </c>
      <c r="R641" s="5" t="s">
        <v>1106</v>
      </c>
    </row>
    <row r="642" spans="1:18" x14ac:dyDescent="0.25">
      <c r="A642" s="2" t="str">
        <f>"MED"&amp;TEXT(Table41[[#This Row],[Count]],"000")&amp;"."&amp;IF(Table41[[#This Row],[Category]]="Essential","E",IF(Table41[[#This Row],[Category]]="Discretionary","D","O"))</f>
        <v>MED526.E</v>
      </c>
      <c r="B642" s="2">
        <f>MAX(Table40[Count])+ROWS(INDEX(Table41[Count],1):Table41[[#This Row],[Count]])</f>
        <v>526</v>
      </c>
      <c r="C642" s="5" t="s">
        <v>96</v>
      </c>
      <c r="D642" s="5" t="s">
        <v>1107</v>
      </c>
      <c r="E642" s="2" t="s">
        <v>13</v>
      </c>
      <c r="M642" s="2" t="s">
        <v>127</v>
      </c>
      <c r="N642" s="2" t="s">
        <v>127</v>
      </c>
      <c r="O642" s="2" t="s">
        <v>127</v>
      </c>
      <c r="P642" s="2" t="s">
        <v>127</v>
      </c>
    </row>
    <row r="643" spans="1:18" x14ac:dyDescent="0.25">
      <c r="A643" s="2" t="str">
        <f>"MED"&amp;TEXT(Table41[[#This Row],[Count]],"000")&amp;"."&amp;IF(Table41[[#This Row],[Category]]="Essential","E",IF(Table41[[#This Row],[Category]]="Discretionary","D","O"))</f>
        <v>MED527.E</v>
      </c>
      <c r="B643" s="2">
        <f>MAX(Table40[Count])+ROWS(INDEX(Table41[Count],1):Table41[[#This Row],[Count]])</f>
        <v>527</v>
      </c>
      <c r="C643" s="5" t="s">
        <v>96</v>
      </c>
      <c r="D643" s="5" t="s">
        <v>1108</v>
      </c>
      <c r="E643" s="2" t="s">
        <v>13</v>
      </c>
      <c r="M643" s="2" t="s">
        <v>127</v>
      </c>
      <c r="N643" s="2" t="s">
        <v>127</v>
      </c>
      <c r="O643" s="2" t="s">
        <v>127</v>
      </c>
      <c r="P643" s="2" t="s">
        <v>127</v>
      </c>
    </row>
    <row r="644" spans="1:18" ht="60" x14ac:dyDescent="0.25">
      <c r="A644" s="2" t="str">
        <f>"MED"&amp;TEXT(Table41[[#This Row],[Count]],"000")&amp;"."&amp;IF(Table41[[#This Row],[Category]]="Essential","E",IF(Table41[[#This Row],[Category]]="Discretionary","D","O"))</f>
        <v>MED528.O</v>
      </c>
      <c r="B644" s="2">
        <f>MAX(Table40[Count])+ROWS(INDEX(Table41[Count],1):Table41[[#This Row],[Count]])</f>
        <v>528</v>
      </c>
      <c r="C644" s="5" t="s">
        <v>96</v>
      </c>
      <c r="D644" s="5" t="s">
        <v>1109</v>
      </c>
      <c r="E644" s="2" t="s">
        <v>23</v>
      </c>
      <c r="M644" s="2" t="s">
        <v>127</v>
      </c>
      <c r="N644" s="2" t="s">
        <v>127</v>
      </c>
      <c r="O644" s="2" t="s">
        <v>127</v>
      </c>
      <c r="P644" s="2" t="s">
        <v>127</v>
      </c>
      <c r="R644" s="5" t="s">
        <v>880</v>
      </c>
    </row>
    <row r="645" spans="1:18" ht="30" x14ac:dyDescent="0.25">
      <c r="A645" s="2" t="str">
        <f>"MED"&amp;TEXT(Table41[[#This Row],[Count]],"000")&amp;"."&amp;IF(Table41[[#This Row],[Category]]="Essential","E",IF(Table41[[#This Row],[Category]]="Discretionary","D","O"))</f>
        <v>MED529.E</v>
      </c>
      <c r="B645" s="2">
        <f>MAX(Table40[Count])+ROWS(INDEX(Table41[Count],1):Table41[[#This Row],[Count]])</f>
        <v>529</v>
      </c>
      <c r="C645" s="5" t="s">
        <v>96</v>
      </c>
      <c r="D645" s="5" t="s">
        <v>1110</v>
      </c>
      <c r="E645" s="2" t="s">
        <v>13</v>
      </c>
      <c r="M645" s="2" t="s">
        <v>127</v>
      </c>
      <c r="N645" s="2" t="s">
        <v>127</v>
      </c>
      <c r="O645" s="2" t="s">
        <v>127</v>
      </c>
      <c r="P645" s="2" t="s">
        <v>127</v>
      </c>
    </row>
    <row r="646" spans="1:18" x14ac:dyDescent="0.25">
      <c r="A646" s="2" t="str">
        <f>"MED"&amp;TEXT(Table41[[#This Row],[Count]],"000")&amp;"."&amp;IF(Table41[[#This Row],[Category]]="Essential","E",IF(Table41[[#This Row],[Category]]="Discretionary","D","O"))</f>
        <v>MED530.E</v>
      </c>
      <c r="B646" s="2">
        <f>MAX(Table40[Count])+ROWS(INDEX(Table41[Count],1):Table41[[#This Row],[Count]])</f>
        <v>530</v>
      </c>
      <c r="C646" s="5" t="s">
        <v>96</v>
      </c>
      <c r="D646" s="5" t="s">
        <v>1111</v>
      </c>
      <c r="E646" s="2" t="s">
        <v>13</v>
      </c>
      <c r="M646" s="2" t="s">
        <v>127</v>
      </c>
      <c r="N646" s="2" t="s">
        <v>127</v>
      </c>
      <c r="O646" s="2" t="s">
        <v>127</v>
      </c>
      <c r="P646" s="2" t="s">
        <v>127</v>
      </c>
      <c r="R646" s="5" t="s">
        <v>1112</v>
      </c>
    </row>
    <row r="647" spans="1:18" x14ac:dyDescent="0.25">
      <c r="A647" s="2" t="str">
        <f>"MED"&amp;TEXT(Table41[[#This Row],[Count]],"000")&amp;"."&amp;IF(Table41[[#This Row],[Category]]="Essential","E",IF(Table41[[#This Row],[Category]]="Discretionary","D","O"))</f>
        <v>MED531.E</v>
      </c>
      <c r="B647" s="2">
        <f>MAX(Table40[Count])+ROWS(INDEX(Table41[Count],1):Table41[[#This Row],[Count]])</f>
        <v>531</v>
      </c>
      <c r="C647" s="5" t="s">
        <v>96</v>
      </c>
      <c r="D647" s="5" t="s">
        <v>1113</v>
      </c>
      <c r="E647" s="2" t="s">
        <v>13</v>
      </c>
      <c r="M647" s="2" t="s">
        <v>127</v>
      </c>
      <c r="N647" s="2" t="s">
        <v>127</v>
      </c>
      <c r="O647" s="2" t="s">
        <v>127</v>
      </c>
      <c r="P647" s="2" t="s">
        <v>127</v>
      </c>
    </row>
    <row r="648" spans="1:18" x14ac:dyDescent="0.25">
      <c r="A648" s="2" t="str">
        <f>"MED"&amp;TEXT(Table41[[#This Row],[Count]],"000")&amp;"."&amp;IF(Table41[[#This Row],[Category]]="Essential","E",IF(Table41[[#This Row],[Category]]="Discretionary","D","O"))</f>
        <v>MED532.E</v>
      </c>
      <c r="B648" s="2">
        <f>MAX(Table40[Count])+ROWS(INDEX(Table41[Count],1):Table41[[#This Row],[Count]])</f>
        <v>532</v>
      </c>
      <c r="C648" s="5" t="s">
        <v>96</v>
      </c>
      <c r="D648" s="5" t="s">
        <v>1114</v>
      </c>
      <c r="E648" s="2" t="s">
        <v>13</v>
      </c>
      <c r="M648" s="2" t="s">
        <v>127</v>
      </c>
      <c r="N648" s="2" t="s">
        <v>127</v>
      </c>
      <c r="O648" s="2" t="s">
        <v>127</v>
      </c>
      <c r="P648" s="2" t="s">
        <v>127</v>
      </c>
    </row>
    <row r="649" spans="1:18" x14ac:dyDescent="0.25">
      <c r="A649" s="2" t="str">
        <f>"MED"&amp;TEXT(Table41[[#This Row],[Count]],"000")&amp;"."&amp;IF(Table41[[#This Row],[Category]]="Essential","E",IF(Table41[[#This Row],[Category]]="Discretionary","D","O"))</f>
        <v>MED533.E</v>
      </c>
      <c r="B649" s="2">
        <f>MAX(Table40[Count])+ROWS(INDEX(Table41[Count],1):Table41[[#This Row],[Count]])</f>
        <v>533</v>
      </c>
      <c r="C649" s="5" t="s">
        <v>96</v>
      </c>
      <c r="D649" s="5" t="s">
        <v>1115</v>
      </c>
      <c r="E649" s="2" t="s">
        <v>13</v>
      </c>
      <c r="L649" s="2" t="s">
        <v>127</v>
      </c>
      <c r="M649" s="2" t="s">
        <v>127</v>
      </c>
      <c r="N649" s="2" t="s">
        <v>127</v>
      </c>
      <c r="O649" s="2" t="s">
        <v>127</v>
      </c>
      <c r="P649" s="2" t="s">
        <v>127</v>
      </c>
    </row>
    <row r="650" spans="1:18" x14ac:dyDescent="0.25">
      <c r="A650" s="2" t="str">
        <f>"MED"&amp;TEXT(Table41[[#This Row],[Count]],"000")&amp;"."&amp;IF(Table41[[#This Row],[Category]]="Essential","E",IF(Table41[[#This Row],[Category]]="Discretionary","D","O"))</f>
        <v>MED534.E</v>
      </c>
      <c r="B650" s="2">
        <f>MAX(Table40[Count])+ROWS(INDEX(Table41[Count],1):Table41[[#This Row],[Count]])</f>
        <v>534</v>
      </c>
      <c r="C650" s="5" t="s">
        <v>96</v>
      </c>
      <c r="D650" s="5" t="s">
        <v>1116</v>
      </c>
      <c r="E650" s="2" t="s">
        <v>13</v>
      </c>
      <c r="M650" s="2" t="s">
        <v>127</v>
      </c>
      <c r="N650" s="2" t="s">
        <v>127</v>
      </c>
      <c r="O650" s="2" t="s">
        <v>127</v>
      </c>
      <c r="P650" s="2" t="s">
        <v>127</v>
      </c>
    </row>
    <row r="651" spans="1:18" x14ac:dyDescent="0.25">
      <c r="A651" s="2" t="str">
        <f>"MED"&amp;TEXT(Table41[[#This Row],[Count]],"000")&amp;"."&amp;IF(Table41[[#This Row],[Category]]="Essential","E",IF(Table41[[#This Row],[Category]]="Discretionary","D","O"))</f>
        <v>MED535.E</v>
      </c>
      <c r="B651" s="2">
        <f>MAX(Table40[Count])+ROWS(INDEX(Table41[Count],1):Table41[[#This Row],[Count]])</f>
        <v>535</v>
      </c>
      <c r="C651" s="5" t="s">
        <v>96</v>
      </c>
      <c r="D651" s="5" t="s">
        <v>1117</v>
      </c>
      <c r="E651" s="2" t="s">
        <v>13</v>
      </c>
      <c r="M651" s="2" t="s">
        <v>127</v>
      </c>
      <c r="N651" s="2" t="s">
        <v>127</v>
      </c>
      <c r="O651" s="2" t="s">
        <v>127</v>
      </c>
      <c r="P651" s="2" t="s">
        <v>127</v>
      </c>
    </row>
    <row r="652" spans="1:18" x14ac:dyDescent="0.25">
      <c r="A652" s="2" t="str">
        <f>"MED"&amp;TEXT(Table41[[#This Row],[Count]],"000")&amp;"."&amp;IF(Table41[[#This Row],[Category]]="Essential","E",IF(Table41[[#This Row],[Category]]="Discretionary","D","O"))</f>
        <v>MED536.E</v>
      </c>
      <c r="B652" s="2">
        <f>MAX(Table40[Count])+ROWS(INDEX(Table41[Count],1):Table41[[#This Row],[Count]])</f>
        <v>536</v>
      </c>
      <c r="C652" s="5" t="s">
        <v>96</v>
      </c>
      <c r="D652" s="5" t="s">
        <v>1118</v>
      </c>
      <c r="E652" s="2" t="s">
        <v>13</v>
      </c>
      <c r="M652" s="2" t="s">
        <v>127</v>
      </c>
      <c r="N652" s="2" t="s">
        <v>127</v>
      </c>
      <c r="O652" s="2" t="s">
        <v>127</v>
      </c>
      <c r="P652" s="2" t="s">
        <v>127</v>
      </c>
    </row>
    <row r="653" spans="1:18" x14ac:dyDescent="0.25">
      <c r="A653" s="2" t="str">
        <f>"MED"&amp;TEXT(Table41[[#This Row],[Count]],"000")&amp;"."&amp;IF(Table41[[#This Row],[Category]]="Essential","E",IF(Table41[[#This Row],[Category]]="Discretionary","D","O"))</f>
        <v>MED537.E</v>
      </c>
      <c r="B653" s="2">
        <f>MAX(Table40[Count])+ROWS(INDEX(Table41[Count],1):Table41[[#This Row],[Count]])</f>
        <v>537</v>
      </c>
      <c r="C653" s="5" t="s">
        <v>96</v>
      </c>
      <c r="D653" s="5" t="s">
        <v>1119</v>
      </c>
      <c r="E653" s="2" t="s">
        <v>13</v>
      </c>
      <c r="M653" s="2" t="s">
        <v>127</v>
      </c>
      <c r="N653" s="2" t="s">
        <v>127</v>
      </c>
      <c r="O653" s="2" t="s">
        <v>127</v>
      </c>
      <c r="P653" s="2" t="s">
        <v>127</v>
      </c>
    </row>
    <row r="654" spans="1:18" x14ac:dyDescent="0.25">
      <c r="A654" s="2" t="str">
        <f>"MED"&amp;TEXT(Table41[[#This Row],[Count]],"000")&amp;"."&amp;IF(Table41[[#This Row],[Category]]="Essential","E",IF(Table41[[#This Row],[Category]]="Discretionary","D","O"))</f>
        <v>MED538.E</v>
      </c>
      <c r="B654" s="2">
        <f>MAX(Table40[Count])+ROWS(INDEX(Table41[Count],1):Table41[[#This Row],[Count]])</f>
        <v>538</v>
      </c>
      <c r="C654" s="5" t="s">
        <v>96</v>
      </c>
      <c r="D654" s="5" t="s">
        <v>1120</v>
      </c>
      <c r="E654" s="2" t="s">
        <v>13</v>
      </c>
      <c r="M654" s="2" t="s">
        <v>127</v>
      </c>
      <c r="N654" s="2" t="s">
        <v>127</v>
      </c>
      <c r="O654" s="2" t="s">
        <v>127</v>
      </c>
      <c r="P654" s="2" t="s">
        <v>127</v>
      </c>
    </row>
    <row r="655" spans="1:18" x14ac:dyDescent="0.25">
      <c r="A655" s="2" t="str">
        <f>"MED"&amp;TEXT(Table41[[#This Row],[Count]],"000")&amp;"."&amp;IF(Table41[[#This Row],[Category]]="Essential","E",IF(Table41[[#This Row],[Category]]="Discretionary","D","O"))</f>
        <v>MED539.E</v>
      </c>
      <c r="B655" s="2">
        <f>MAX(Table40[Count])+ROWS(INDEX(Table41[Count],1):Table41[[#This Row],[Count]])</f>
        <v>539</v>
      </c>
      <c r="C655" s="5" t="s">
        <v>96</v>
      </c>
      <c r="D655" s="5" t="s">
        <v>1121</v>
      </c>
      <c r="E655" s="2" t="s">
        <v>13</v>
      </c>
      <c r="M655" s="2" t="s">
        <v>127</v>
      </c>
      <c r="N655" s="2" t="s">
        <v>127</v>
      </c>
      <c r="O655" s="2" t="s">
        <v>127</v>
      </c>
      <c r="P655" s="2" t="s">
        <v>127</v>
      </c>
    </row>
    <row r="656" spans="1:18" x14ac:dyDescent="0.25">
      <c r="A656" s="2" t="str">
        <f>"MED"&amp;TEXT(Table41[[#This Row],[Count]],"000")&amp;"."&amp;IF(Table41[[#This Row],[Category]]="Essential","E",IF(Table41[[#This Row],[Category]]="Discretionary","D","O"))</f>
        <v>MED540.E</v>
      </c>
      <c r="B656" s="2">
        <f>MAX(Table40[Count])+ROWS(INDEX(Table41[Count],1):Table41[[#This Row],[Count]])</f>
        <v>540</v>
      </c>
      <c r="C656" s="5" t="s">
        <v>96</v>
      </c>
      <c r="D656" s="5" t="s">
        <v>1122</v>
      </c>
      <c r="E656" s="2" t="s">
        <v>13</v>
      </c>
      <c r="M656" s="2" t="s">
        <v>127</v>
      </c>
      <c r="N656" s="2" t="s">
        <v>127</v>
      </c>
      <c r="O656" s="2" t="s">
        <v>127</v>
      </c>
      <c r="P656" s="2" t="s">
        <v>127</v>
      </c>
    </row>
    <row r="657" spans="1:18" ht="30" x14ac:dyDescent="0.25">
      <c r="A657" s="2" t="str">
        <f>"MED"&amp;TEXT(Table41[[#This Row],[Count]],"000")&amp;"."&amp;IF(Table41[[#This Row],[Category]]="Essential","E",IF(Table41[[#This Row],[Category]]="Discretionary","D","O"))</f>
        <v>MED541.E</v>
      </c>
      <c r="B657" s="2">
        <f>MAX(Table40[Count])+ROWS(INDEX(Table41[Count],1):Table41[[#This Row],[Count]])</f>
        <v>541</v>
      </c>
      <c r="C657" s="5" t="s">
        <v>96</v>
      </c>
      <c r="D657" s="5" t="s">
        <v>1123</v>
      </c>
      <c r="E657" s="2" t="s">
        <v>13</v>
      </c>
      <c r="M657" s="2" t="s">
        <v>127</v>
      </c>
      <c r="N657" s="2" t="s">
        <v>127</v>
      </c>
      <c r="O657" s="2" t="s">
        <v>127</v>
      </c>
      <c r="P657" s="2" t="s">
        <v>127</v>
      </c>
    </row>
    <row r="658" spans="1:18" ht="30" x14ac:dyDescent="0.25">
      <c r="A658" s="2" t="str">
        <f>"MED"&amp;TEXT(Table41[[#This Row],[Count]],"000")&amp;"."&amp;IF(Table41[[#This Row],[Category]]="Essential","E",IF(Table41[[#This Row],[Category]]="Discretionary","D","O"))</f>
        <v>MED542.E</v>
      </c>
      <c r="B658" s="2">
        <f>MAX(Table40[Count])+ROWS(INDEX(Table41[Count],1):Table41[[#This Row],[Count]])</f>
        <v>542</v>
      </c>
      <c r="C658" s="5" t="s">
        <v>96</v>
      </c>
      <c r="D658" s="5" t="s">
        <v>1124</v>
      </c>
      <c r="E658" s="2" t="s">
        <v>13</v>
      </c>
      <c r="M658" s="2" t="s">
        <v>127</v>
      </c>
      <c r="N658" s="2" t="s">
        <v>127</v>
      </c>
      <c r="O658" s="2" t="s">
        <v>127</v>
      </c>
      <c r="P658" s="2" t="s">
        <v>127</v>
      </c>
    </row>
    <row r="660" spans="1:18" x14ac:dyDescent="0.25">
      <c r="A660" s="58" t="s">
        <v>98</v>
      </c>
      <c r="B660" s="58"/>
      <c r="C660" s="58"/>
      <c r="D660" s="58"/>
      <c r="E660" s="58"/>
      <c r="F660" s="58"/>
      <c r="G660" s="58"/>
      <c r="H660" s="58"/>
      <c r="I660" s="58"/>
      <c r="J660" s="58"/>
      <c r="K660" s="58"/>
      <c r="L660" s="58"/>
      <c r="M660" s="58"/>
      <c r="N660" s="58"/>
      <c r="O660" s="58"/>
      <c r="P660" s="58"/>
      <c r="Q660" s="58"/>
      <c r="R660" s="58"/>
    </row>
    <row r="662" spans="1:18" x14ac:dyDescent="0.25">
      <c r="A662" s="6" t="s">
        <v>120</v>
      </c>
      <c r="B662" s="6" t="s">
        <v>121</v>
      </c>
      <c r="C662" s="7" t="s">
        <v>122</v>
      </c>
      <c r="D662" s="7" t="s">
        <v>123</v>
      </c>
      <c r="E662" s="6" t="s">
        <v>8</v>
      </c>
      <c r="F662" s="6" t="s">
        <v>124</v>
      </c>
      <c r="G662" s="6" t="s">
        <v>154</v>
      </c>
      <c r="H662" s="6" t="s">
        <v>155</v>
      </c>
      <c r="I662" s="6" t="s">
        <v>156</v>
      </c>
      <c r="J662" s="6" t="s">
        <v>157</v>
      </c>
      <c r="K662" s="6" t="s">
        <v>158</v>
      </c>
      <c r="L662" s="6" t="s">
        <v>159</v>
      </c>
      <c r="M662" s="6" t="s">
        <v>160</v>
      </c>
      <c r="N662" s="6" t="s">
        <v>161</v>
      </c>
      <c r="O662" s="6" t="s">
        <v>162</v>
      </c>
      <c r="P662" s="6" t="s">
        <v>163</v>
      </c>
      <c r="Q662" s="7" t="s">
        <v>164</v>
      </c>
      <c r="R662" s="7" t="s">
        <v>125</v>
      </c>
    </row>
    <row r="663" spans="1:18" x14ac:dyDescent="0.25">
      <c r="A663" s="2" t="str">
        <f>"MED"&amp;TEXT(Table42[[#This Row],[Count]],"000")&amp;"."&amp;IF(Table42[[#This Row],[Category]]="Essential","E",IF(Table42[[#This Row],[Category]]="Discretionary","D","O"))</f>
        <v>MED543.E</v>
      </c>
      <c r="B663" s="2">
        <f>MAX(Table41[Count])+ROWS(INDEX(Table42[Count],1):Table42[[#This Row],[Count]])</f>
        <v>543</v>
      </c>
      <c r="C663" s="5" t="s">
        <v>98</v>
      </c>
      <c r="D663" s="5" t="s">
        <v>1125</v>
      </c>
      <c r="E663" s="2" t="s">
        <v>13</v>
      </c>
      <c r="M663" s="2" t="s">
        <v>127</v>
      </c>
      <c r="N663" s="2" t="s">
        <v>127</v>
      </c>
      <c r="O663" s="2" t="s">
        <v>127</v>
      </c>
      <c r="P663" s="2" t="s">
        <v>127</v>
      </c>
      <c r="Q663" s="5" t="s">
        <v>127</v>
      </c>
    </row>
    <row r="664" spans="1:18" ht="30" x14ac:dyDescent="0.25">
      <c r="A664" s="2" t="str">
        <f>"MED"&amp;TEXT(Table42[[#This Row],[Count]],"000")&amp;"."&amp;IF(Table42[[#This Row],[Category]]="Essential","E",IF(Table42[[#This Row],[Category]]="Discretionary","D","O"))</f>
        <v>MED544.E</v>
      </c>
      <c r="B664" s="2">
        <f>MAX(Table41[Count])+ROWS(INDEX(Table42[Count],1):Table42[[#This Row],[Count]])</f>
        <v>544</v>
      </c>
      <c r="C664" s="5" t="s">
        <v>98</v>
      </c>
      <c r="D664" s="5" t="s">
        <v>1126</v>
      </c>
      <c r="E664" s="2" t="s">
        <v>13</v>
      </c>
      <c r="O664" s="2" t="s">
        <v>127</v>
      </c>
      <c r="P664" s="2" t="s">
        <v>127</v>
      </c>
    </row>
    <row r="665" spans="1:18" x14ac:dyDescent="0.25">
      <c r="A665" s="2" t="str">
        <f>"MED"&amp;TEXT(Table42[[#This Row],[Count]],"000")&amp;"."&amp;IF(Table42[[#This Row],[Category]]="Essential","E",IF(Table42[[#This Row],[Category]]="Discretionary","D","O"))</f>
        <v>MED545.E</v>
      </c>
      <c r="B665" s="2">
        <f>MAX(Table41[Count])+ROWS(INDEX(Table42[Count],1):Table42[[#This Row],[Count]])</f>
        <v>545</v>
      </c>
      <c r="C665" s="5" t="s">
        <v>98</v>
      </c>
      <c r="D665" s="5" t="s">
        <v>1127</v>
      </c>
      <c r="E665" s="2" t="s">
        <v>13</v>
      </c>
      <c r="F665" s="2" t="s">
        <v>127</v>
      </c>
    </row>
    <row r="666" spans="1:18" x14ac:dyDescent="0.25">
      <c r="A666" s="2" t="str">
        <f>"MED"&amp;TEXT(Table42[[#This Row],[Count]],"000")&amp;"."&amp;IF(Table42[[#This Row],[Category]]="Essential","E",IF(Table42[[#This Row],[Category]]="Discretionary","D","O"))</f>
        <v>MED546.E</v>
      </c>
      <c r="B666" s="2">
        <f>MAX(Table41[Count])+ROWS(INDEX(Table42[Count],1):Table42[[#This Row],[Count]])</f>
        <v>546</v>
      </c>
      <c r="C666" s="5" t="s">
        <v>98</v>
      </c>
      <c r="D666" s="5" t="s">
        <v>1128</v>
      </c>
      <c r="E666" s="2" t="s">
        <v>13</v>
      </c>
      <c r="M666" s="2" t="s">
        <v>127</v>
      </c>
      <c r="N666" s="2" t="s">
        <v>127</v>
      </c>
      <c r="O666" s="2" t="s">
        <v>127</v>
      </c>
      <c r="P666" s="2" t="s">
        <v>127</v>
      </c>
      <c r="Q666" s="5" t="s">
        <v>127</v>
      </c>
    </row>
    <row r="667" spans="1:18" x14ac:dyDescent="0.25">
      <c r="A667" s="2" t="str">
        <f>"MED"&amp;TEXT(Table42[[#This Row],[Count]],"000")&amp;"."&amp;IF(Table42[[#This Row],[Category]]="Essential","E",IF(Table42[[#This Row],[Category]]="Discretionary","D","O"))</f>
        <v>MED547.E</v>
      </c>
      <c r="B667" s="2">
        <f>MAX(Table41[Count])+ROWS(INDEX(Table42[Count],1):Table42[[#This Row],[Count]])</f>
        <v>547</v>
      </c>
      <c r="C667" s="5" t="s">
        <v>98</v>
      </c>
      <c r="D667" s="5" t="s">
        <v>1129</v>
      </c>
      <c r="E667" s="2" t="s">
        <v>13</v>
      </c>
      <c r="M667" s="2" t="s">
        <v>127</v>
      </c>
      <c r="N667" s="2" t="s">
        <v>127</v>
      </c>
      <c r="O667" s="2" t="s">
        <v>127</v>
      </c>
      <c r="P667" s="2" t="s">
        <v>127</v>
      </c>
      <c r="Q667" s="5" t="s">
        <v>127</v>
      </c>
    </row>
    <row r="668" spans="1:18" ht="30" x14ac:dyDescent="0.25">
      <c r="A668" s="2" t="str">
        <f>"MED"&amp;TEXT(Table42[[#This Row],[Count]],"000")&amp;"."&amp;IF(Table42[[#This Row],[Category]]="Essential","E",IF(Table42[[#This Row],[Category]]="Discretionary","D","O"))</f>
        <v>MED548.E</v>
      </c>
      <c r="B668" s="2">
        <f>MAX(Table41[Count])+ROWS(INDEX(Table42[Count],1):Table42[[#This Row],[Count]])</f>
        <v>548</v>
      </c>
      <c r="C668" s="5" t="s">
        <v>98</v>
      </c>
      <c r="D668" s="5" t="s">
        <v>1130</v>
      </c>
      <c r="E668" s="2" t="s">
        <v>13</v>
      </c>
      <c r="F668" s="2" t="s">
        <v>127</v>
      </c>
    </row>
    <row r="669" spans="1:18" x14ac:dyDescent="0.25">
      <c r="A669" s="2" t="str">
        <f>"MED"&amp;TEXT(Table42[[#This Row],[Count]],"000")&amp;"."&amp;IF(Table42[[#This Row],[Category]]="Essential","E",IF(Table42[[#This Row],[Category]]="Discretionary","D","O"))</f>
        <v>MED549.E</v>
      </c>
      <c r="B669" s="2">
        <f>MAX(Table41[Count])+ROWS(INDEX(Table42[Count],1):Table42[[#This Row],[Count]])</f>
        <v>549</v>
      </c>
      <c r="C669" s="5" t="s">
        <v>98</v>
      </c>
      <c r="D669" s="5" t="s">
        <v>1131</v>
      </c>
      <c r="E669" s="2" t="s">
        <v>13</v>
      </c>
      <c r="F669" s="2" t="s">
        <v>127</v>
      </c>
    </row>
    <row r="670" spans="1:18" x14ac:dyDescent="0.25">
      <c r="A670" s="2" t="str">
        <f>"MED"&amp;TEXT(Table42[[#This Row],[Count]],"000")&amp;"."&amp;IF(Table42[[#This Row],[Category]]="Essential","E",IF(Table42[[#This Row],[Category]]="Discretionary","D","O"))</f>
        <v>MED550.E</v>
      </c>
      <c r="B670" s="2">
        <f>MAX(Table41[Count])+ROWS(INDEX(Table42[Count],1):Table42[[#This Row],[Count]])</f>
        <v>550</v>
      </c>
      <c r="C670" s="5" t="s">
        <v>98</v>
      </c>
      <c r="D670" s="5" t="s">
        <v>1132</v>
      </c>
      <c r="E670" s="2" t="s">
        <v>13</v>
      </c>
      <c r="P670" s="2" t="s">
        <v>127</v>
      </c>
    </row>
    <row r="671" spans="1:18" x14ac:dyDescent="0.25">
      <c r="A671" s="2" t="str">
        <f>"MED"&amp;TEXT(Table42[[#This Row],[Count]],"000")&amp;"."&amp;IF(Table42[[#This Row],[Category]]="Essential","E",IF(Table42[[#This Row],[Category]]="Discretionary","D","O"))</f>
        <v>MED551.E</v>
      </c>
      <c r="B671" s="2">
        <f>MAX(Table41[Count])+ROWS(INDEX(Table42[Count],1):Table42[[#This Row],[Count]])</f>
        <v>551</v>
      </c>
      <c r="C671" s="5" t="s">
        <v>98</v>
      </c>
      <c r="D671" s="5" t="s">
        <v>1133</v>
      </c>
      <c r="E671" s="2" t="s">
        <v>13</v>
      </c>
      <c r="F671" s="2" t="s">
        <v>127</v>
      </c>
    </row>
    <row r="672" spans="1:18" ht="45" x14ac:dyDescent="0.25">
      <c r="A672" s="2" t="str">
        <f>"MED"&amp;TEXT(Table42[[#This Row],[Count]],"000")&amp;"."&amp;IF(Table42[[#This Row],[Category]]="Essential","E",IF(Table42[[#This Row],[Category]]="Discretionary","D","O"))</f>
        <v>MED552.E</v>
      </c>
      <c r="B672" s="2">
        <f>MAX(Table41[Count])+ROWS(INDEX(Table42[Count],1):Table42[[#This Row],[Count]])</f>
        <v>552</v>
      </c>
      <c r="C672" s="5" t="s">
        <v>98</v>
      </c>
      <c r="D672" s="5" t="s">
        <v>1134</v>
      </c>
      <c r="E672" s="2" t="s">
        <v>13</v>
      </c>
      <c r="F672" s="2" t="s">
        <v>127</v>
      </c>
      <c r="R672" s="5" t="s">
        <v>1135</v>
      </c>
    </row>
    <row r="673" spans="1:18" x14ac:dyDescent="0.25">
      <c r="A673" s="2" t="str">
        <f>"MED"&amp;TEXT(Table42[[#This Row],[Count]],"000")&amp;"."&amp;IF(Table42[[#This Row],[Category]]="Essential","E",IF(Table42[[#This Row],[Category]]="Discretionary","D","O"))</f>
        <v>MED553.E</v>
      </c>
      <c r="B673" s="2">
        <f>MAX(Table41[Count])+ROWS(INDEX(Table42[Count],1):Table42[[#This Row],[Count]])</f>
        <v>553</v>
      </c>
      <c r="C673" s="5" t="s">
        <v>98</v>
      </c>
      <c r="D673" s="5" t="s">
        <v>1136</v>
      </c>
      <c r="E673" s="2" t="s">
        <v>13</v>
      </c>
      <c r="F673" s="2" t="s">
        <v>127</v>
      </c>
    </row>
    <row r="674" spans="1:18" x14ac:dyDescent="0.25">
      <c r="A674" s="2" t="str">
        <f>"MED"&amp;TEXT(Table42[[#This Row],[Count]],"000")&amp;"."&amp;IF(Table42[[#This Row],[Category]]="Essential","E",IF(Table42[[#This Row],[Category]]="Discretionary","D","O"))</f>
        <v>MED554.E</v>
      </c>
      <c r="B674" s="2">
        <f>MAX(Table41[Count])+ROWS(INDEX(Table42[Count],1):Table42[[#This Row],[Count]])</f>
        <v>554</v>
      </c>
      <c r="C674" s="5" t="s">
        <v>98</v>
      </c>
      <c r="D674" s="5" t="s">
        <v>1137</v>
      </c>
      <c r="E674" s="2" t="s">
        <v>13</v>
      </c>
      <c r="M674" s="2" t="s">
        <v>127</v>
      </c>
      <c r="N674" s="2" t="s">
        <v>127</v>
      </c>
      <c r="O674" s="2" t="s">
        <v>127</v>
      </c>
      <c r="P674" s="2" t="s">
        <v>127</v>
      </c>
      <c r="Q674" s="5" t="s">
        <v>127</v>
      </c>
    </row>
    <row r="675" spans="1:18" x14ac:dyDescent="0.25">
      <c r="A675" s="2" t="str">
        <f>"MED"&amp;TEXT(Table42[[#This Row],[Count]],"000")&amp;"."&amp;IF(Table42[[#This Row],[Category]]="Essential","E",IF(Table42[[#This Row],[Category]]="Discretionary","D","O"))</f>
        <v>MED555.E</v>
      </c>
      <c r="B675" s="2">
        <f>MAX(Table41[Count])+ROWS(INDEX(Table42[Count],1):Table42[[#This Row],[Count]])</f>
        <v>555</v>
      </c>
      <c r="C675" s="5" t="s">
        <v>98</v>
      </c>
      <c r="D675" s="5" t="s">
        <v>1138</v>
      </c>
      <c r="E675" s="2" t="s">
        <v>13</v>
      </c>
      <c r="M675" s="2" t="s">
        <v>127</v>
      </c>
      <c r="N675" s="2" t="s">
        <v>127</v>
      </c>
      <c r="O675" s="2" t="s">
        <v>127</v>
      </c>
      <c r="P675" s="2" t="s">
        <v>127</v>
      </c>
      <c r="Q675" s="5" t="s">
        <v>127</v>
      </c>
    </row>
    <row r="676" spans="1:18" x14ac:dyDescent="0.25">
      <c r="A676" s="2" t="str">
        <f>"MED"&amp;TEXT(Table42[[#This Row],[Count]],"000")&amp;"."&amp;IF(Table42[[#This Row],[Category]]="Essential","E",IF(Table42[[#This Row],[Category]]="Discretionary","D","O"))</f>
        <v>MED556.E</v>
      </c>
      <c r="B676" s="2">
        <f>MAX(Table41[Count])+ROWS(INDEX(Table42[Count],1):Table42[[#This Row],[Count]])</f>
        <v>556</v>
      </c>
      <c r="C676" s="5" t="s">
        <v>98</v>
      </c>
      <c r="D676" s="5" t="s">
        <v>1139</v>
      </c>
      <c r="E676" s="2" t="s">
        <v>13</v>
      </c>
      <c r="M676" s="2" t="s">
        <v>127</v>
      </c>
      <c r="N676" s="2" t="s">
        <v>127</v>
      </c>
      <c r="O676" s="2" t="s">
        <v>127</v>
      </c>
      <c r="P676" s="2" t="s">
        <v>127</v>
      </c>
      <c r="Q676" s="5" t="s">
        <v>127</v>
      </c>
    </row>
    <row r="677" spans="1:18" x14ac:dyDescent="0.25">
      <c r="A677" s="2" t="str">
        <f>"MED"&amp;TEXT(Table42[[#This Row],[Count]],"000")&amp;"."&amp;IF(Table42[[#This Row],[Category]]="Essential","E",IF(Table42[[#This Row],[Category]]="Discretionary","D","O"))</f>
        <v>MED557.E</v>
      </c>
      <c r="B677" s="2">
        <f>MAX(Table41[Count])+ROWS(INDEX(Table42[Count],1):Table42[[#This Row],[Count]])</f>
        <v>557</v>
      </c>
      <c r="C677" s="5" t="s">
        <v>98</v>
      </c>
      <c r="D677" s="5" t="s">
        <v>1140</v>
      </c>
      <c r="E677" s="2" t="s">
        <v>13</v>
      </c>
      <c r="N677" s="2" t="s">
        <v>127</v>
      </c>
      <c r="O677" s="2" t="s">
        <v>127</v>
      </c>
      <c r="P677" s="2" t="s">
        <v>127</v>
      </c>
    </row>
    <row r="678" spans="1:18" ht="30" x14ac:dyDescent="0.25">
      <c r="A678" s="2" t="str">
        <f>"MED"&amp;TEXT(Table42[[#This Row],[Count]],"000")&amp;"."&amp;IF(Table42[[#This Row],[Category]]="Essential","E",IF(Table42[[#This Row],[Category]]="Discretionary","D","O"))</f>
        <v>MED558.E</v>
      </c>
      <c r="B678" s="2">
        <f>MAX(Table41[Count])+ROWS(INDEX(Table42[Count],1):Table42[[#This Row],[Count]])</f>
        <v>558</v>
      </c>
      <c r="C678" s="5" t="s">
        <v>98</v>
      </c>
      <c r="D678" s="5" t="s">
        <v>1141</v>
      </c>
      <c r="E678" s="2" t="s">
        <v>13</v>
      </c>
      <c r="F678" s="2" t="s">
        <v>127</v>
      </c>
    </row>
    <row r="679" spans="1:18" x14ac:dyDescent="0.25">
      <c r="A679" s="2" t="str">
        <f>"MED"&amp;TEXT(Table42[[#This Row],[Count]],"000")&amp;"."&amp;IF(Table42[[#This Row],[Category]]="Essential","E",IF(Table42[[#This Row],[Category]]="Discretionary","D","O"))</f>
        <v>MED559.E</v>
      </c>
      <c r="B679" s="2">
        <f>MAX(Table41[Count])+ROWS(INDEX(Table42[Count],1):Table42[[#This Row],[Count]])</f>
        <v>559</v>
      </c>
      <c r="C679" s="5" t="s">
        <v>98</v>
      </c>
      <c r="D679" s="5" t="s">
        <v>1142</v>
      </c>
      <c r="E679" s="2" t="s">
        <v>13</v>
      </c>
      <c r="F679" s="2" t="s">
        <v>127</v>
      </c>
    </row>
    <row r="680" spans="1:18" ht="45" x14ac:dyDescent="0.25">
      <c r="A680" s="2" t="str">
        <f>"MED"&amp;TEXT(Table42[[#This Row],[Count]],"000")&amp;"."&amp;IF(Table42[[#This Row],[Category]]="Essential","E",IF(Table42[[#This Row],[Category]]="Discretionary","D","O"))</f>
        <v>MED560.E</v>
      </c>
      <c r="B680" s="2">
        <f>MAX(Table41[Count])+ROWS(INDEX(Table42[Count],1):Table42[[#This Row],[Count]])</f>
        <v>560</v>
      </c>
      <c r="C680" s="5" t="s">
        <v>98</v>
      </c>
      <c r="D680" s="5" t="s">
        <v>1143</v>
      </c>
      <c r="E680" s="2" t="s">
        <v>13</v>
      </c>
      <c r="M680" s="2" t="s">
        <v>127</v>
      </c>
      <c r="N680" s="2" t="s">
        <v>127</v>
      </c>
      <c r="O680" s="2" t="s">
        <v>127</v>
      </c>
      <c r="P680" s="2" t="s">
        <v>127</v>
      </c>
      <c r="Q680" s="5" t="s">
        <v>127</v>
      </c>
    </row>
    <row r="681" spans="1:18" ht="30" x14ac:dyDescent="0.25">
      <c r="A681" s="2" t="str">
        <f>"MED"&amp;TEXT(Table42[[#This Row],[Count]],"000")&amp;"."&amp;IF(Table42[[#This Row],[Category]]="Essential","E",IF(Table42[[#This Row],[Category]]="Discretionary","D","O"))</f>
        <v>MED561.E</v>
      </c>
      <c r="B681" s="2">
        <f>MAX(Table41[Count])+ROWS(INDEX(Table42[Count],1):Table42[[#This Row],[Count]])</f>
        <v>561</v>
      </c>
      <c r="C681" s="5" t="s">
        <v>98</v>
      </c>
      <c r="D681" s="5" t="s">
        <v>1144</v>
      </c>
      <c r="E681" s="2" t="s">
        <v>13</v>
      </c>
      <c r="F681" s="2" t="s">
        <v>127</v>
      </c>
    </row>
    <row r="682" spans="1:18" ht="30" x14ac:dyDescent="0.25">
      <c r="A682" s="2" t="str">
        <f>"MED"&amp;TEXT(Table42[[#This Row],[Count]],"000")&amp;"."&amp;IF(Table42[[#This Row],[Category]]="Essential","E",IF(Table42[[#This Row],[Category]]="Discretionary","D","O"))</f>
        <v>MED562.E</v>
      </c>
      <c r="B682" s="2">
        <f>MAX(Table41[Count])+ROWS(INDEX(Table42[Count],1):Table42[[#This Row],[Count]])</f>
        <v>562</v>
      </c>
      <c r="C682" s="5" t="s">
        <v>98</v>
      </c>
      <c r="D682" s="5" t="s">
        <v>1145</v>
      </c>
      <c r="E682" s="2" t="s">
        <v>13</v>
      </c>
      <c r="F682" s="2" t="s">
        <v>127</v>
      </c>
      <c r="R682" s="5" t="s">
        <v>949</v>
      </c>
    </row>
    <row r="683" spans="1:18" ht="30" x14ac:dyDescent="0.25">
      <c r="A683" s="2" t="str">
        <f>"MED"&amp;TEXT(Table42[[#This Row],[Count]],"000")&amp;"."&amp;IF(Table42[[#This Row],[Category]]="Essential","E",IF(Table42[[#This Row],[Category]]="Discretionary","D","O"))</f>
        <v>MED563.E</v>
      </c>
      <c r="B683" s="2">
        <f>MAX(Table41[Count])+ROWS(INDEX(Table42[Count],1):Table42[[#This Row],[Count]])</f>
        <v>563</v>
      </c>
      <c r="C683" s="5" t="s">
        <v>98</v>
      </c>
      <c r="D683" s="5" t="s">
        <v>1146</v>
      </c>
      <c r="E683" s="2" t="s">
        <v>13</v>
      </c>
      <c r="M683" s="2" t="s">
        <v>127</v>
      </c>
      <c r="N683" s="2" t="s">
        <v>127</v>
      </c>
      <c r="O683" s="2" t="s">
        <v>127</v>
      </c>
      <c r="P683" s="2" t="s">
        <v>127</v>
      </c>
    </row>
    <row r="685" spans="1:18" x14ac:dyDescent="0.25">
      <c r="A685" s="58" t="s">
        <v>101</v>
      </c>
      <c r="B685" s="58"/>
      <c r="C685" s="58"/>
      <c r="D685" s="58"/>
      <c r="E685" s="58"/>
      <c r="F685" s="58"/>
      <c r="G685" s="58"/>
      <c r="H685" s="58"/>
      <c r="I685" s="58"/>
      <c r="J685" s="58"/>
      <c r="K685" s="58"/>
      <c r="L685" s="58"/>
      <c r="M685" s="58"/>
      <c r="N685" s="58"/>
      <c r="O685" s="58"/>
      <c r="P685" s="58"/>
      <c r="Q685" s="58"/>
      <c r="R685" s="58"/>
    </row>
    <row r="687" spans="1:18" x14ac:dyDescent="0.25">
      <c r="A687" s="6" t="s">
        <v>120</v>
      </c>
      <c r="B687" s="6" t="s">
        <v>121</v>
      </c>
      <c r="C687" s="7" t="s">
        <v>122</v>
      </c>
      <c r="D687" s="7" t="s">
        <v>123</v>
      </c>
      <c r="E687" s="6" t="s">
        <v>8</v>
      </c>
      <c r="F687" s="6" t="s">
        <v>124</v>
      </c>
      <c r="G687" s="6" t="s">
        <v>154</v>
      </c>
      <c r="H687" s="6" t="s">
        <v>155</v>
      </c>
      <c r="I687" s="6" t="s">
        <v>156</v>
      </c>
      <c r="J687" s="6" t="s">
        <v>157</v>
      </c>
      <c r="K687" s="6" t="s">
        <v>158</v>
      </c>
      <c r="L687" s="6" t="s">
        <v>159</v>
      </c>
      <c r="M687" s="6" t="s">
        <v>160</v>
      </c>
      <c r="N687" s="6" t="s">
        <v>161</v>
      </c>
      <c r="O687" s="6" t="s">
        <v>162</v>
      </c>
      <c r="P687" s="6" t="s">
        <v>163</v>
      </c>
      <c r="Q687" s="7" t="s">
        <v>164</v>
      </c>
      <c r="R687" s="7" t="s">
        <v>125</v>
      </c>
    </row>
    <row r="688" spans="1:18" ht="30" x14ac:dyDescent="0.25">
      <c r="A688" s="2" t="str">
        <f>"MED"&amp;TEXT(Table43[[#This Row],[Count]],"000")&amp;"."&amp;IF(Table43[[#This Row],[Category]]="Essential","E",IF(Table43[[#This Row],[Category]]="Discretionary","D","O"))</f>
        <v>MED564.E</v>
      </c>
      <c r="B688" s="2">
        <f>MAX(Table42[Count])+ROWS(INDEX(Table43[Count],1):Table43[[#This Row],[Count]])</f>
        <v>564</v>
      </c>
      <c r="C688" s="5" t="s">
        <v>101</v>
      </c>
      <c r="D688" s="5" t="s">
        <v>1147</v>
      </c>
      <c r="E688" s="2" t="s">
        <v>13</v>
      </c>
      <c r="F688" s="2" t="s">
        <v>127</v>
      </c>
    </row>
    <row r="689" spans="1:18" x14ac:dyDescent="0.25">
      <c r="A689" s="2" t="str">
        <f>"MED"&amp;TEXT(Table43[[#This Row],[Count]],"000")&amp;"."&amp;IF(Table43[[#This Row],[Category]]="Essential","E",IF(Table43[[#This Row],[Category]]="Discretionary","D","O"))</f>
        <v>MED565.E</v>
      </c>
      <c r="B689" s="2">
        <f>MAX(Table42[Count])+ROWS(INDEX(Table43[Count],1):Table43[[#This Row],[Count]])</f>
        <v>565</v>
      </c>
      <c r="C689" s="5" t="s">
        <v>101</v>
      </c>
      <c r="D689" s="5" t="s">
        <v>1148</v>
      </c>
      <c r="E689" s="2" t="s">
        <v>13</v>
      </c>
      <c r="F689" s="2" t="s">
        <v>127</v>
      </c>
    </row>
    <row r="690" spans="1:18" x14ac:dyDescent="0.25">
      <c r="A690" s="2" t="str">
        <f>"MED"&amp;TEXT(Table43[[#This Row],[Count]],"000")&amp;"."&amp;IF(Table43[[#This Row],[Category]]="Essential","E",IF(Table43[[#This Row],[Category]]="Discretionary","D","O"))</f>
        <v>MED566.E</v>
      </c>
      <c r="B690" s="2">
        <f>MAX(Table42[Count])+ROWS(INDEX(Table43[Count],1):Table43[[#This Row],[Count]])</f>
        <v>566</v>
      </c>
      <c r="C690" s="5" t="s">
        <v>101</v>
      </c>
      <c r="D690" s="5" t="s">
        <v>1149</v>
      </c>
      <c r="E690" s="2" t="s">
        <v>13</v>
      </c>
      <c r="F690" s="2" t="s">
        <v>127</v>
      </c>
    </row>
    <row r="691" spans="1:18" x14ac:dyDescent="0.25">
      <c r="A691" s="2" t="str">
        <f>"MED"&amp;TEXT(Table43[[#This Row],[Count]],"000")&amp;"."&amp;IF(Table43[[#This Row],[Category]]="Essential","E",IF(Table43[[#This Row],[Category]]="Discretionary","D","O"))</f>
        <v>MED567.E</v>
      </c>
      <c r="B691" s="2">
        <f>MAX(Table42[Count])+ROWS(INDEX(Table43[Count],1):Table43[[#This Row],[Count]])</f>
        <v>567</v>
      </c>
      <c r="C691" s="5" t="s">
        <v>101</v>
      </c>
      <c r="D691" s="5" t="s">
        <v>1150</v>
      </c>
      <c r="E691" s="2" t="s">
        <v>13</v>
      </c>
      <c r="F691" s="2" t="s">
        <v>127</v>
      </c>
    </row>
    <row r="692" spans="1:18" x14ac:dyDescent="0.25">
      <c r="A692" s="2" t="str">
        <f>"MED"&amp;TEXT(Table43[[#This Row],[Count]],"000")&amp;"."&amp;IF(Table43[[#This Row],[Category]]="Essential","E",IF(Table43[[#This Row],[Category]]="Discretionary","D","O"))</f>
        <v>MED568.E</v>
      </c>
      <c r="B692" s="2">
        <f>MAX(Table42[Count])+ROWS(INDEX(Table43[Count],1):Table43[[#This Row],[Count]])</f>
        <v>568</v>
      </c>
      <c r="C692" s="5" t="s">
        <v>101</v>
      </c>
      <c r="D692" s="5" t="s">
        <v>1151</v>
      </c>
      <c r="E692" s="2" t="s">
        <v>13</v>
      </c>
      <c r="F692" s="2" t="s">
        <v>127</v>
      </c>
    </row>
    <row r="693" spans="1:18" ht="30" x14ac:dyDescent="0.25">
      <c r="A693" s="2" t="str">
        <f>"MED"&amp;TEXT(Table43[[#This Row],[Count]],"000")&amp;"."&amp;IF(Table43[[#This Row],[Category]]="Essential","E",IF(Table43[[#This Row],[Category]]="Discretionary","D","O"))</f>
        <v>MED569.E</v>
      </c>
      <c r="B693" s="2">
        <f>MAX(Table42[Count])+ROWS(INDEX(Table43[Count],1):Table43[[#This Row],[Count]])</f>
        <v>569</v>
      </c>
      <c r="C693" s="5" t="s">
        <v>101</v>
      </c>
      <c r="D693" s="5" t="s">
        <v>1152</v>
      </c>
      <c r="E693" s="2" t="s">
        <v>13</v>
      </c>
      <c r="F693" s="2" t="s">
        <v>127</v>
      </c>
    </row>
    <row r="694" spans="1:18" ht="30" x14ac:dyDescent="0.25">
      <c r="A694" s="2" t="str">
        <f>"MED"&amp;TEXT(Table43[[#This Row],[Count]],"000")&amp;"."&amp;IF(Table43[[#This Row],[Category]]="Essential","E",IF(Table43[[#This Row],[Category]]="Discretionary","D","O"))</f>
        <v>MED570.E</v>
      </c>
      <c r="B694" s="2">
        <f>MAX(Table42[Count])+ROWS(INDEX(Table43[Count],1):Table43[[#This Row],[Count]])</f>
        <v>570</v>
      </c>
      <c r="C694" s="5" t="s">
        <v>101</v>
      </c>
      <c r="D694" s="5" t="s">
        <v>1153</v>
      </c>
      <c r="E694" s="2" t="s">
        <v>13</v>
      </c>
      <c r="F694" s="2" t="s">
        <v>127</v>
      </c>
    </row>
    <row r="696" spans="1:18" x14ac:dyDescent="0.25">
      <c r="A696" s="58" t="s">
        <v>104</v>
      </c>
      <c r="B696" s="58"/>
      <c r="C696" s="58"/>
      <c r="D696" s="58"/>
      <c r="E696" s="58"/>
      <c r="F696" s="58"/>
      <c r="G696" s="58"/>
      <c r="H696" s="58"/>
      <c r="I696" s="58"/>
      <c r="J696" s="58"/>
      <c r="K696" s="58"/>
      <c r="L696" s="58"/>
      <c r="M696" s="58"/>
      <c r="N696" s="58"/>
      <c r="O696" s="58"/>
      <c r="P696" s="58"/>
      <c r="Q696" s="58"/>
      <c r="R696" s="58"/>
    </row>
    <row r="698" spans="1:18" x14ac:dyDescent="0.25">
      <c r="A698" s="6" t="s">
        <v>120</v>
      </c>
      <c r="B698" s="6" t="s">
        <v>121</v>
      </c>
      <c r="C698" s="7" t="s">
        <v>122</v>
      </c>
      <c r="D698" s="7" t="s">
        <v>123</v>
      </c>
      <c r="E698" s="6" t="s">
        <v>8</v>
      </c>
      <c r="F698" s="6" t="s">
        <v>124</v>
      </c>
      <c r="G698" s="6" t="s">
        <v>154</v>
      </c>
      <c r="H698" s="6" t="s">
        <v>155</v>
      </c>
      <c r="I698" s="6" t="s">
        <v>156</v>
      </c>
      <c r="J698" s="6" t="s">
        <v>157</v>
      </c>
      <c r="K698" s="6" t="s">
        <v>158</v>
      </c>
      <c r="L698" s="6" t="s">
        <v>159</v>
      </c>
      <c r="M698" s="6" t="s">
        <v>160</v>
      </c>
      <c r="N698" s="6" t="s">
        <v>161</v>
      </c>
      <c r="O698" s="6" t="s">
        <v>162</v>
      </c>
      <c r="P698" s="6" t="s">
        <v>163</v>
      </c>
      <c r="Q698" s="7" t="s">
        <v>164</v>
      </c>
      <c r="R698" s="7" t="s">
        <v>125</v>
      </c>
    </row>
    <row r="699" spans="1:18" ht="45" x14ac:dyDescent="0.25">
      <c r="A699" s="2" t="str">
        <f>"MED"&amp;TEXT(Table44[[#This Row],[Count]],"000")&amp;"."&amp;IF(Table44[[#This Row],[Category]]="Essential","E",IF(Table44[[#This Row],[Category]]="Discretionary","D","O"))</f>
        <v>MED571.E</v>
      </c>
      <c r="B699" s="2">
        <f>MAX(Table43[Count])+ROWS(INDEX(Table44[Count],1):Table44[[#This Row],[Count]])</f>
        <v>571</v>
      </c>
      <c r="C699" s="5" t="s">
        <v>104</v>
      </c>
      <c r="D699" s="5" t="s">
        <v>1154</v>
      </c>
      <c r="E699" s="2" t="s">
        <v>13</v>
      </c>
      <c r="F699" s="2" t="s">
        <v>127</v>
      </c>
    </row>
    <row r="700" spans="1:18" ht="45" x14ac:dyDescent="0.25">
      <c r="A700" s="2" t="str">
        <f>"MED"&amp;TEXT(Table44[[#This Row],[Count]],"000")&amp;"."&amp;IF(Table44[[#This Row],[Category]]="Essential","E",IF(Table44[[#This Row],[Category]]="Discretionary","D","O"))</f>
        <v>MED572.O</v>
      </c>
      <c r="B700" s="2">
        <f>MAX(Table43[Count])+ROWS(INDEX(Table44[Count],1):Table44[[#This Row],[Count]])</f>
        <v>572</v>
      </c>
      <c r="C700" s="5" t="s">
        <v>104</v>
      </c>
      <c r="D700" s="5" t="s">
        <v>1155</v>
      </c>
      <c r="E700" s="2" t="s">
        <v>23</v>
      </c>
      <c r="F700" s="2" t="s">
        <v>127</v>
      </c>
      <c r="R700" s="5" t="s">
        <v>1156</v>
      </c>
    </row>
    <row r="701" spans="1:18" x14ac:dyDescent="0.25">
      <c r="A701" s="2" t="str">
        <f>"MED"&amp;TEXT(Table44[[#This Row],[Count]],"000")&amp;"."&amp;IF(Table44[[#This Row],[Category]]="Essential","E",IF(Table44[[#This Row],[Category]]="Discretionary","D","O"))</f>
        <v>MED573.E</v>
      </c>
      <c r="B701" s="2">
        <f>MAX(Table43[Count])+ROWS(INDEX(Table44[Count],1):Table44[[#This Row],[Count]])</f>
        <v>573</v>
      </c>
      <c r="C701" s="5" t="s">
        <v>104</v>
      </c>
      <c r="D701" s="5" t="s">
        <v>1157</v>
      </c>
      <c r="E701" s="2" t="s">
        <v>13</v>
      </c>
      <c r="F701" s="2" t="s">
        <v>127</v>
      </c>
    </row>
  </sheetData>
  <mergeCells count="34">
    <mergeCell ref="A630:R630"/>
    <mergeCell ref="A660:R660"/>
    <mergeCell ref="A685:R685"/>
    <mergeCell ref="A696:R696"/>
    <mergeCell ref="A487:R487"/>
    <mergeCell ref="A549:R549"/>
    <mergeCell ref="A555:R555"/>
    <mergeCell ref="A567:R567"/>
    <mergeCell ref="A576:R576"/>
    <mergeCell ref="A598:R598"/>
    <mergeCell ref="A392:R392"/>
    <mergeCell ref="A397:R397"/>
    <mergeCell ref="A410:R410"/>
    <mergeCell ref="A428:R428"/>
    <mergeCell ref="A472:R472"/>
    <mergeCell ref="A313:R313"/>
    <mergeCell ref="A371:R371"/>
    <mergeCell ref="A318:R318"/>
    <mergeCell ref="A339:R339"/>
    <mergeCell ref="A357:R357"/>
    <mergeCell ref="A362:R362"/>
    <mergeCell ref="A147:R147"/>
    <mergeCell ref="A229:R229"/>
    <mergeCell ref="A195:R195"/>
    <mergeCell ref="A256:R256"/>
    <mergeCell ref="A281:R281"/>
    <mergeCell ref="A96:R96"/>
    <mergeCell ref="A106:R106"/>
    <mergeCell ref="A1:R1"/>
    <mergeCell ref="A3:R3"/>
    <mergeCell ref="A13:R13"/>
    <mergeCell ref="A27:R27"/>
    <mergeCell ref="A71:R71"/>
    <mergeCell ref="A2:R2"/>
  </mergeCells>
  <phoneticPr fontId="3" type="noConversion"/>
  <conditionalFormatting sqref="E6:E15 E26:E29 E68:E1005">
    <cfRule type="containsText" dxfId="170" priority="5" operator="containsText" text="Other">
      <formula>NOT(ISERROR(SEARCH("Other",E6)))</formula>
    </cfRule>
    <cfRule type="containsText" dxfId="169" priority="7" operator="containsText" text="Discretionary">
      <formula>NOT(ISERROR(SEARCH("Discretionary",E6)))</formula>
    </cfRule>
    <cfRule type="containsText" dxfId="168" priority="8" operator="containsText" text="Essential">
      <formula>NOT(ISERROR(SEARCH("Essential",E6)))</formula>
    </cfRule>
  </conditionalFormatting>
  <conditionalFormatting sqref="F6:Q1005">
    <cfRule type="containsText" dxfId="167" priority="9" operator="containsText" text="x">
      <formula>NOT(ISERROR(SEARCH("x",F6)))</formula>
    </cfRule>
  </conditionalFormatting>
  <dataValidations count="1">
    <dataValidation type="list" allowBlank="1" showInputMessage="1" showErrorMessage="1" sqref="E99:E104 E6:E11 E74:E95 E68:E69" xr:uid="{7DA1E6DB-B678-4551-BFF9-BD3063C1B360}">
      <formula1>Cats</formula1>
    </dataValidation>
  </dataValidations>
  <pageMargins left="0.7" right="0.7" top="0.75" bottom="0.75" header="0.3" footer="0.3"/>
  <pageSetup paperSize="9" scale="47" fitToHeight="0" orientation="landscape" r:id="rId1"/>
  <headerFooter>
    <oddFooter>&amp;C&amp;P</oddFooter>
  </headerFooter>
  <ignoredErrors>
    <ignoredError sqref="A16" calculatedColumn="1"/>
  </ignoredErrors>
  <tableParts count="3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Office xmlns="e2dcde02-a2e4-4d64-9648-2b50813dcf5b">Severn</Office>
    <FromTWtoattendees xmlns="e2dcde02-a2e4-4d64-9648-2b50813dcf5b" xsi:nil="true"/>
    <DateTime xmlns="e2dcde02-a2e4-4d64-9648-2b50813dcf5b" xsi:nil="true"/>
    <DO_x0020_NOT_x0020_USE_x0020_THIS_x0020_FOLDER xmlns="e2dcde02-a2e4-4d64-9648-2b50813dcf5b" xsi:nil="true"/>
    <_ip_UnifiedCompliancePolicyProperties xmlns="http://schemas.microsoft.com/sharepoint/v3" xsi:nil="true"/>
    <TaxCatchAll xmlns="3df05c99-492f-45c1-9071-9b56d96d89db" xsi:nil="true"/>
    <lcf76f155ced4ddcb4097134ff3c332f xmlns="e2dcde02-a2e4-4d64-9648-2b50813dcf5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407E82745E1A4480747C64CDA68335" ma:contentTypeVersion="25" ma:contentTypeDescription="Create a new document." ma:contentTypeScope="" ma:versionID="5942d2005aa074b5154a8c484b7855ec">
  <xsd:schema xmlns:xsd="http://www.w3.org/2001/XMLSchema" xmlns:xs="http://www.w3.org/2001/XMLSchema" xmlns:p="http://schemas.microsoft.com/office/2006/metadata/properties" xmlns:ns1="http://schemas.microsoft.com/sharepoint/v3" xmlns:ns2="e2dcde02-a2e4-4d64-9648-2b50813dcf5b" xmlns:ns3="3df05c99-492f-45c1-9071-9b56d96d89db" targetNamespace="http://schemas.microsoft.com/office/2006/metadata/properties" ma:root="true" ma:fieldsID="6c8e190bd53f2f1134ecd25db5ee43b8" ns1:_="" ns2:_="" ns3:_="">
    <xsd:import namespace="http://schemas.microsoft.com/sharepoint/v3"/>
    <xsd:import namespace="e2dcde02-a2e4-4d64-9648-2b50813dcf5b"/>
    <xsd:import namespace="3df05c99-492f-45c1-9071-9b56d96d89db"/>
    <xsd:element name="properties">
      <xsd:complexType>
        <xsd:sequence>
          <xsd:element name="documentManagement">
            <xsd:complexType>
              <xsd:all>
                <xsd:element ref="ns2:DO_x0020_NOT_x0020_USE_x0020_THIS_x0020_FOLDER" minOccurs="0"/>
                <xsd:element ref="ns2:Office" minOccurs="0"/>
                <xsd:element ref="ns2:FromTWtoattendees" minOccurs="0"/>
                <xsd:element ref="ns2:DateTim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cde02-a2e4-4d64-9648-2b50813dcf5b" elementFormDefault="qualified">
    <xsd:import namespace="http://schemas.microsoft.com/office/2006/documentManagement/types"/>
    <xsd:import namespace="http://schemas.microsoft.com/office/infopath/2007/PartnerControls"/>
    <xsd:element name="DO_x0020_NOT_x0020_USE_x0020_THIS_x0020_FOLDER" ma:index="5" nillable="true" ma:displayName="DO NOT USE THIS FOLDER" ma:description="T" ma:internalName="DO_x0020_NOT_x0020_USE_x0020_THIS_x0020_FOLDER" ma:readOnly="false">
      <xsd:simpleType>
        <xsd:restriction base="dms:Text">
          <xsd:maxLength value="255"/>
        </xsd:restriction>
      </xsd:simpleType>
    </xsd:element>
    <xsd:element name="Office" ma:index="6" nillable="true" ma:displayName="Office" ma:default="Severn" ma:format="Dropdown" ma:internalName="Office" ma:readOnly="false">
      <xsd:simpleType>
        <xsd:restriction base="dms:Choice">
          <xsd:enumeration value="Severn"/>
          <xsd:enumeration value="Peninsula"/>
        </xsd:restriction>
      </xsd:simpleType>
    </xsd:element>
    <xsd:element name="FromTWtoattendees" ma:index="7" nillable="true" ma:displayName="From TW to attendees" ma:description="Re teaching 020221" ma:format="DateOnly" ma:internalName="FromTWtoattendees" ma:readOnly="false">
      <xsd:simpleType>
        <xsd:restriction base="dms:DateTime"/>
      </xsd:simpleType>
    </xsd:element>
    <xsd:element name="DateTime" ma:index="8" nillable="true" ma:displayName="Date &amp; Time" ma:format="DateOnly" ma:internalName="DateTime" ma:readOnly="false">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f05c99-492f-45c1-9071-9b56d96d89db"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ed67b3d-08ee-4b32-a3b1-f336dbdc6e34}" ma:internalName="TaxCatchAll" ma:showField="CatchAllData" ma:web="3df05c99-492f-45c1-9071-9b56d96d89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A3632-079C-440E-A4E8-1DA57726D726}">
  <ds:schemaRefs>
    <ds:schemaRef ds:uri="http://schemas.microsoft.com/office/2006/metadata/properties"/>
    <ds:schemaRef ds:uri="http://schemas.microsoft.com/office/infopath/2007/PartnerControls"/>
    <ds:schemaRef ds:uri="http://schemas.microsoft.com/sharepoint/v3"/>
    <ds:schemaRef ds:uri="e2dcde02-a2e4-4d64-9648-2b50813dcf5b"/>
    <ds:schemaRef ds:uri="3df05c99-492f-45c1-9071-9b56d96d89db"/>
  </ds:schemaRefs>
</ds:datastoreItem>
</file>

<file path=customXml/itemProps2.xml><?xml version="1.0" encoding="utf-8"?>
<ds:datastoreItem xmlns:ds="http://schemas.openxmlformats.org/officeDocument/2006/customXml" ds:itemID="{82555403-AB23-445E-96C7-E5D89BCF6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2dcde02-a2e4-4d64-9648-2b50813dcf5b"/>
    <ds:schemaRef ds:uri="3df05c99-492f-45c1-9071-9b56d96d89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92A8ED-C30B-4F2F-A66E-2250EBC230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Overview</vt:lpstr>
      <vt:lpstr>Generic</vt:lpstr>
      <vt:lpstr>Anaesthetics &amp; ICM</vt:lpstr>
      <vt:lpstr>ACCS</vt:lpstr>
      <vt:lpstr>CSRH</vt:lpstr>
      <vt:lpstr>EM</vt:lpstr>
      <vt:lpstr>Foundation</vt:lpstr>
      <vt:lpstr>O&amp;G</vt:lpstr>
      <vt:lpstr>Medicine</vt:lpstr>
      <vt:lpstr>Rad</vt:lpstr>
      <vt:lpstr>Opth</vt:lpstr>
      <vt:lpstr>Paeds</vt:lpstr>
      <vt:lpstr>Path</vt:lpstr>
      <vt:lpstr>PC</vt:lpstr>
      <vt:lpstr>Psych</vt:lpstr>
      <vt:lpstr>Surgery</vt:lpstr>
      <vt:lpstr>Information Sheet</vt:lpstr>
      <vt:lpstr>Cats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DICKEN, Jon (NHS ENGLAND)</dc:creator>
  <cp:keywords/>
  <dc:description/>
  <cp:lastModifiedBy>STEWART, Christopher (NHS ENGLAND)</cp:lastModifiedBy>
  <cp:revision/>
  <cp:lastPrinted>2026-07-31T16:45:43Z</cp:lastPrinted>
  <dcterms:created xsi:type="dcterms:W3CDTF">2026-04-20T09:59:33Z</dcterms:created>
  <dcterms:modified xsi:type="dcterms:W3CDTF">2026-07-31T16:46:05Z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0x0101004E407E82745E1A4480747C64CDA68335</vt:lpwstr>
  </property>
  <property fmtid="{D5CDD505-2E9C-101B-9397-08002B2CF9AE}" pid="3" name="MediaServiceImageTags">
    <vt:lpwstr/>
  </property>
</Properties>
</file>